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workbookPr date1904="1" codeName="ThisWorkbook"/>
  <mc:AlternateContent xmlns:mc="http://schemas.openxmlformats.org/markup-compatibility/2006">
    <mc:Choice Requires="x15">
      <x15ac:absPath xmlns:x15ac="http://schemas.microsoft.com/office/spreadsheetml/2010/11/ac" url="\\vm-wcen-flr-asp.assuredpartners.com\West\MCM\Group\EB\Clients\Green Diamond\Employee Communication\2022-2023\Enrollment\Cost Estimator\"/>
    </mc:Choice>
  </mc:AlternateContent>
  <xr:revisionPtr revIDLastSave="0" documentId="13_ncr:1_{A150D00C-EC8A-4EB1-A156-3FF05ECE5B58}" xr6:coauthVersionLast="47" xr6:coauthVersionMax="47" xr10:uidLastSave="{00000000-0000-0000-0000-000000000000}"/>
  <workbookProtection workbookAlgorithmName="SHA-512" workbookHashValue="bcrZyKpA8tnwebdDKDlzMRx0gnFzNnKjLdXbjZgsRfSajgoVBNVhpsRJ+XPVQLz91O57ByasYV9iHQr/3Q7ETg==" workbookSaltValue="XiDNydl7g+pL8/3oa27Z5w==" workbookSpinCount="100000" lockStructure="1"/>
  <bookViews>
    <workbookView xWindow="-120" yWindow="-120" windowWidth="29040" windowHeight="15840" tabRatio="883" xr2:uid="{00000000-000D-0000-FFFF-FFFF00000000}"/>
  </bookViews>
  <sheets>
    <sheet name="Instructions" sheetId="10" r:id="rId1"/>
    <sheet name="Cost Estimator" sheetId="1" r:id="rId2"/>
    <sheet name="Tax Savings" sheetId="17" r:id="rId3"/>
    <sheet name="Benefit Summary" sheetId="14" r:id="rId4"/>
    <sheet name="Asmpt" sheetId="12" state="hidden" r:id="rId5"/>
    <sheet name="Plan 1 Calcs" sheetId="13" state="hidden" r:id="rId6"/>
    <sheet name="Plan 2 Calcs" sheetId="15" state="hidden" r:id="rId7"/>
    <sheet name="Plan 3 Calcs" sheetId="16" state="hidden" r:id="rId8"/>
  </sheets>
  <externalReferences>
    <externalReference r:id="rId9"/>
    <externalReference r:id="rId10"/>
    <externalReference r:id="rId11"/>
    <externalReference r:id="rId12"/>
  </externalReferences>
  <definedNames>
    <definedName name="__123Graph_ACOMP" hidden="1">[1]CHARTS!$B$5:$M$5</definedName>
    <definedName name="__123Graph_BCOMP" hidden="1">[1]CHARTS!$B$6:$M$6</definedName>
    <definedName name="__123Graph_CCOMP" hidden="1">[1]CHARTS!$B$7:$M$7</definedName>
    <definedName name="__123Graph_DCOMP" hidden="1">[1]CHARTS!$B$8:$M$8</definedName>
    <definedName name="__123Graph_LBL_AMAIN" hidden="1">[1]CHARTS!$B$2:$M$2</definedName>
    <definedName name="__123Graph_LBL_BMAIN" hidden="1">[1]CHARTS!$B$3:$M$3</definedName>
    <definedName name="__123Graph_XCOMP" hidden="1">[1]CHARTS!$B$4:$M$4</definedName>
    <definedName name="_Order1" hidden="1">0</definedName>
    <definedName name="_Order2" hidden="1">255</definedName>
    <definedName name="abalk23" localSheetId="3" hidden="1">{#N/A,#N/A,FALSE,"II.General ";#N/A,#N/A,FALSE,"III.Plan Design";#N/A,#N/A,FALSE,"IV.Delivery System";#N/A,#N/A,FALSE,"V.Reimbursement";#N/A,#N/A,FALSE,"VI.Manage-Satisf.";#N/A,#N/A,FALSE,"VII. &amp;VIII. Other";#N/A,#N/A,FALSE,"Appendix 2";#N/A,#N/A,FALSE,"Appendix 3a";#N/A,#N/A,FALSE,"Appendix 3b";#N/A,#N/A,FALSE,"Appendix 3b(cont.)"}</definedName>
    <definedName name="abalk23" localSheetId="2" hidden="1">{#N/A,#N/A,FALSE,"II.General ";#N/A,#N/A,FALSE,"III.Plan Design";#N/A,#N/A,FALSE,"IV.Delivery System";#N/A,#N/A,FALSE,"V.Reimbursement";#N/A,#N/A,FALSE,"VI.Manage-Satisf.";#N/A,#N/A,FALSE,"VII. &amp;VIII. Other";#N/A,#N/A,FALSE,"Appendix 2";#N/A,#N/A,FALSE,"Appendix 3a";#N/A,#N/A,FALSE,"Appendix 3b";#N/A,#N/A,FALSE,"Appendix 3b(cont.)"}</definedName>
    <definedName name="abalk23" hidden="1">{#N/A,#N/A,FALSE,"II.General ";#N/A,#N/A,FALSE,"III.Plan Design";#N/A,#N/A,FALSE,"IV.Delivery System";#N/A,#N/A,FALSE,"V.Reimbursement";#N/A,#N/A,FALSE,"VI.Manage-Satisf.";#N/A,#N/A,FALSE,"VII. &amp;VIII. Other";#N/A,#N/A,FALSE,"Appendix 2";#N/A,#N/A,FALSE,"Appendix 3a";#N/A,#N/A,FALSE,"Appendix 3b";#N/A,#N/A,FALSE,"Appendix 3b(cont.)"}</definedName>
    <definedName name="abc" localSheetId="3" hidden="1">{#N/A,#N/A,FALSE,"II.General ";#N/A,#N/A,FALSE,"III.Plan Design";#N/A,#N/A,FALSE,"IV.Delivery System";#N/A,#N/A,FALSE,"V.Reimbursement";#N/A,#N/A,FALSE,"VI.Manage-Satisf.";#N/A,#N/A,FALSE,"VII. &amp;VIII. Other";#N/A,#N/A,FALSE,"Appendix 2";#N/A,#N/A,FALSE,"Appendix 3a";#N/A,#N/A,FALSE,"Appendix 3b";#N/A,#N/A,FALSE,"Appendix 3b(cont.)"}</definedName>
    <definedName name="abc" localSheetId="2" hidden="1">{#N/A,#N/A,FALSE,"II.General ";#N/A,#N/A,FALSE,"III.Plan Design";#N/A,#N/A,FALSE,"IV.Delivery System";#N/A,#N/A,FALSE,"V.Reimbursement";#N/A,#N/A,FALSE,"VI.Manage-Satisf.";#N/A,#N/A,FALSE,"VII. &amp;VIII. Other";#N/A,#N/A,FALSE,"Appendix 2";#N/A,#N/A,FALSE,"Appendix 3a";#N/A,#N/A,FALSE,"Appendix 3b";#N/A,#N/A,FALSE,"Appendix 3b(cont.)"}</definedName>
    <definedName name="abc" hidden="1">{#N/A,#N/A,FALSE,"II.General ";#N/A,#N/A,FALSE,"III.Plan Design";#N/A,#N/A,FALSE,"IV.Delivery System";#N/A,#N/A,FALSE,"V.Reimbursement";#N/A,#N/A,FALSE,"VI.Manage-Satisf.";#N/A,#N/A,FALSE,"VII. &amp;VIII. Other";#N/A,#N/A,FALSE,"Appendix 2";#N/A,#N/A,FALSE,"Appendix 3a";#N/A,#N/A,FALSE,"Appendix 3b";#N/A,#N/A,FALSE,"Appendix 3b(cont.)"}</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mb_MDC_Analysis_Medical_Range" hidden="1">'[2]Amb  MDC Analysis Med page'!$A$1:$N$37</definedName>
    <definedName name="amb_mdc_na_bob_column1" hidden="1">'[2]Amb  MDC Analysis Med page'!$N$10:$N$34</definedName>
    <definedName name="asdfs" localSheetId="3" hidden="1">{#N/A,#N/A,FALSE,"OfficeAssets"}</definedName>
    <definedName name="asdfs" localSheetId="2" hidden="1">{#N/A,#N/A,FALSE,"OfficeAssets"}</definedName>
    <definedName name="asdfs" hidden="1">{#N/A,#N/A,FALSE,"OfficeAssets"}</definedName>
    <definedName name="asdrf" localSheetId="3" hidden="1">{#N/A,#N/A,FALSE,"Paid Claims";#N/A,#N/A,FALSE,"Cumulative Paid Claims";#N/A,#N/A,FALSE,"Completion Ratios";#N/A,#N/A,FALSE,"Claim Reserve Analysis";#N/A,#N/A,FALSE,"Paid Claims % of Est Inc";#N/A,#N/A,FALSE,"Trends in Pure Premium";#N/A,#N/A,FALSE,"Trends in Paid Claims";#N/A,#N/A,FALSE,"Reserve Analysis"}</definedName>
    <definedName name="asdrf" localSheetId="2" hidden="1">{#N/A,#N/A,FALSE,"Paid Claims";#N/A,#N/A,FALSE,"Cumulative Paid Claims";#N/A,#N/A,FALSE,"Completion Ratios";#N/A,#N/A,FALSE,"Claim Reserve Analysis";#N/A,#N/A,FALSE,"Paid Claims % of Est Inc";#N/A,#N/A,FALSE,"Trends in Pure Premium";#N/A,#N/A,FALSE,"Trends in Paid Claims";#N/A,#N/A,FALSE,"Reserve Analysis"}</definedName>
    <definedName name="asdrf" hidden="1">{#N/A,#N/A,FALSE,"Paid Claims";#N/A,#N/A,FALSE,"Cumulative Paid Claims";#N/A,#N/A,FALSE,"Completion Ratios";#N/A,#N/A,FALSE,"Claim Reserve Analysis";#N/A,#N/A,FALSE,"Paid Claims % of Est Inc";#N/A,#N/A,FALSE,"Trends in Pure Premium";#N/A,#N/A,FALSE,"Trends in Paid Claims";#N/A,#N/A,FALSE,"Reserve Analysis"}</definedName>
    <definedName name="ASSETTS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rand_curr" hidden="1">'[2]ePSM RxClaim Data Page'!$B$14</definedName>
    <definedName name="brand_prior" hidden="1">'[2]ePSM RxClaim Data Page'!$E$14</definedName>
    <definedName name="BrokerEnteredName" hidden="1">'[2]ePSM Header Data Page'!$B$24</definedName>
    <definedName name="BrokerEnteredTagLine" hidden="1">'[2]ePSM Header Data Page'!$B$25</definedName>
    <definedName name="Cap_capitation_amt_curr" hidden="1">'[2]ePSM Medical Data Page'!$AX$3</definedName>
    <definedName name="Cap_capitation_amt_prior" hidden="1">'[2]ePSM Medical Data Page'!$BA$3</definedName>
    <definedName name="Carrier">Asmpt!$B$15</definedName>
    <definedName name="CatClaimantThreshold" hidden="1">'[2]ePSM Header Data Page'!$B$20</definedName>
    <definedName name="Check_For_Capitation_Product" hidden="1">'[2]ePSM Fund Code'!$I$7</definedName>
    <definedName name="Check_For_Product_99" hidden="1">'[2]ePSM Fund Code'!$E$7</definedName>
    <definedName name="Check_For_Split_Funded_Medical" hidden="1">'[2]ePSM Fund Code'!$G$7</definedName>
    <definedName name="CommunityRatedRow23Row27SIKeyStats" hidden="1">'[2]Key Statistics Medical page'!$A$23:$IV$28</definedName>
    <definedName name="Cost__Lab">Asmpt!$B$33</definedName>
    <definedName name="Cost_AltCareOV">Asmpt!$B$21</definedName>
    <definedName name="Cost_BrandRx">Asmpt!$B$25</definedName>
    <definedName name="Cost_BrandRxMord">Asmpt!$B$31</definedName>
    <definedName name="Cost_CTScan">Asmpt!$B$35</definedName>
    <definedName name="Cost_GenRx">Asmpt!$B$23</definedName>
    <definedName name="Cost_GenRxMOrd">Asmpt!$B$29</definedName>
    <definedName name="Cost_IPAdmit">Asmpt!$B$37</definedName>
    <definedName name="Cost_MRI">Asmpt!$B$34</definedName>
    <definedName name="Cost_NonFormBrandRx">Asmpt!$B$26</definedName>
    <definedName name="Cost_NonFormBrandRxMOrd">Asmpt!$B$32</definedName>
    <definedName name="Cost_NonFormGenRx">Asmpt!$B$24</definedName>
    <definedName name="Cost_NonFormGenRxMOrd">Asmpt!$B$30</definedName>
    <definedName name="Cost_NonFormSpecRx">Asmpt!$B$28</definedName>
    <definedName name="Cost_OPSurg">Asmpt!$B$36</definedName>
    <definedName name="Cost_Other">Asmpt!$B$38</definedName>
    <definedName name="Cost_PCPOV">Asmpt!$B$19</definedName>
    <definedName name="Cost_PhysOcc">Asmpt!$B$20</definedName>
    <definedName name="Cost_PrevOV">Asmpt!$B$18</definedName>
    <definedName name="Cost_SpecOV">Asmpt!$B$22</definedName>
    <definedName name="Cost_SpecRx">Asmpt!$B$27</definedName>
    <definedName name="Cover_Page_Range" hidden="1">'[2]Cover Page'!$A$3:$N$14</definedName>
    <definedName name="Cover_Page_Run_Macros_Range" hidden="1">'[2]Cover Page'!$B$1</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d" localSheetId="3" hidden="1">{#N/A,#N/A,FALSE,"OfficeAssets"}</definedName>
    <definedName name="d" localSheetId="2" hidden="1">{#N/A,#N/A,FALSE,"OfficeAssets"}</definedName>
    <definedName name="d" hidden="1">{#N/A,#N/A,FALSE,"OfficeAssets"}</definedName>
    <definedName name="DA_Capitation_Range" hidden="1">'[2]Data Availability page'!$A$18:$IV$22</definedName>
    <definedName name="DA_Medical_Range" hidden="1">'[2]Data Availability page'!$A$8:$IV$22</definedName>
    <definedName name="DA_RX_Range" hidden="1">'[2]Data Availability page'!$A$22:$IV$31</definedName>
    <definedName name="Data_Availability_Summary_Home" hidden="1">'[2]Data Availability page'!$A$1</definedName>
    <definedName name="Data_Availability_Summary_Range" hidden="1">'[2]Data Availability page'!$A$1:$G$32</definedName>
    <definedName name="def" localSheetId="3" hidden="1">{#N/A,#N/A,FALSE,"Paid Claims";#N/A,#N/A,FALSE,"Cumulative Paid Claims";#N/A,#N/A,FALSE,"Completion Ratios";#N/A,#N/A,FALSE,"Claim Reserve Analysis";#N/A,#N/A,FALSE,"Paid Claims % of Est Inc";#N/A,#N/A,FALSE,"Trends in Pure Premium";#N/A,#N/A,FALSE,"Trends in Paid Claims";#N/A,#N/A,FALSE,"Reserve Analysis"}</definedName>
    <definedName name="def" localSheetId="2" hidden="1">{#N/A,#N/A,FALSE,"Paid Claims";#N/A,#N/A,FALSE,"Cumulative Paid Claims";#N/A,#N/A,FALSE,"Completion Ratios";#N/A,#N/A,FALSE,"Claim Reserve Analysis";#N/A,#N/A,FALSE,"Paid Claims % of Est Inc";#N/A,#N/A,FALSE,"Trends in Pure Premium";#N/A,#N/A,FALSE,"Trends in Paid Claims";#N/A,#N/A,FALSE,"Reserve Analysis"}</definedName>
    <definedName name="def" hidden="1">{#N/A,#N/A,FALSE,"Paid Claims";#N/A,#N/A,FALSE,"Cumulative Paid Claims";#N/A,#N/A,FALSE,"Completion Ratios";#N/A,#N/A,FALSE,"Claim Reserve Analysis";#N/A,#N/A,FALSE,"Paid Claims % of Est Inc";#N/A,#N/A,FALSE,"Trends in Pure Premium";#N/A,#N/A,FALSE,"Trends in Paid Claims";#N/A,#N/A,FALSE,"Reserve Analysis"}</definedName>
    <definedName name="Demographics_FI_Community_Graph_range" hidden="1">'[2]ePSM Medical Graph Page'!$F$83:$H$92</definedName>
    <definedName name="Demographics_Medical_Range" hidden="1">'[2]Demographics Medical page'!$A$1:$R$49</definedName>
    <definedName name="Dental_avg_age_members_curr" hidden="1">'[2]ePSM Member Data Page'!$O$21</definedName>
    <definedName name="Dental_avg_age_members_prior" hidden="1">'[2]ePSM Member Data Page'!$S$21</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pendent_paid_amt_curr" hidden="1">'[2]ePSM Medical Data Page'!$B$36</definedName>
    <definedName name="Dental_dependent_paid_amt_prior" hidden="1">'[2]ePSM Medical Data Page'!$E$36</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ffasdf" localSheetId="3" hidden="1">{#N/A,#N/A,FALSE,"Paid Claims";#N/A,#N/A,FALSE,"Cumulative Paid Claims";#N/A,#N/A,FALSE,"Completion Ratios";#N/A,#N/A,FALSE,"Claim Reserve Analysis";#N/A,#N/A,FALSE,"Paid Claims % of Est Inc";#N/A,#N/A,FALSE,"Trends in Pure Premium";#N/A,#N/A,FALSE,"Trends in Paid Claims";#N/A,#N/A,FALSE,"Reserve Analysis"}</definedName>
    <definedName name="dffasdf" localSheetId="2" hidden="1">{#N/A,#N/A,FALSE,"Paid Claims";#N/A,#N/A,FALSE,"Cumulative Paid Claims";#N/A,#N/A,FALSE,"Completion Ratios";#N/A,#N/A,FALSE,"Claim Reserve Analysis";#N/A,#N/A,FALSE,"Paid Claims % of Est Inc";#N/A,#N/A,FALSE,"Trends in Pure Premium";#N/A,#N/A,FALSE,"Trends in Paid Claims";#N/A,#N/A,FALSE,"Reserve Analysis"}</definedName>
    <definedName name="dffasdf" hidden="1">{#N/A,#N/A,FALSE,"Paid Claims";#N/A,#N/A,FALSE,"Cumulative Paid Claims";#N/A,#N/A,FALSE,"Completion Ratios";#N/A,#N/A,FALSE,"Claim Reserve Analysis";#N/A,#N/A,FALSE,"Paid Claims % of Est Inc";#N/A,#N/A,FALSE,"Trends in Pure Premium";#N/A,#N/A,FALSE,"Trends in Paid Claims";#N/A,#N/A,FALSE,"Reserve Analysis"}</definedName>
    <definedName name="DrillDownBOBSIKeyStats" hidden="1">'[2]Key Statistics Medical page'!$F$8:$F$36</definedName>
    <definedName name="DrillDownRow17Row27SIKeyStats" hidden="1">'[2]Key Statistics Medical page'!$A$17:$IV$28</definedName>
    <definedName name="ePSM_Medical_Graph_Page_Range" hidden="1">'[2]ePSM Medical Graph Page'!$A$1:$BZ$200</definedName>
    <definedName name="ePSM_Rx_Graph_Page" hidden="1">'[2]ePSM Rx Graph Page'!$A$1:$BZ$200</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FI_ExclusionInd" hidden="1">'[2]ePSM Header Data Page'!$B$21</definedName>
    <definedName name="FinancialOverviewCurr._3" hidden="1">'[2]ePSM Dental FO Page'!$C$3</definedName>
    <definedName name="FinancialOverviewCurr._6" hidden="1">'[2]ePSM Dental FO Page'!$B$3</definedName>
    <definedName name="FinancialOverviewCurr._7" hidden="1">'[2]ePSM Dental FO Page'!$A$3</definedName>
    <definedName name="First_Time_Switch" hidden="1">'[2]ePSM Header Data Page'!$Q$3</definedName>
    <definedName name="FO_Dental_report_has_xml_ind" hidden="1">'[2]ePSM Dental FO Page'!$D$3</definedName>
    <definedName name="formulary_curr" hidden="1">'[2]ePSM RxClaim Data Page'!$B$15</definedName>
    <definedName name="formulary_prior" hidden="1">'[2]ePSM RxClaim Data Page'!$E$15</definedName>
    <definedName name="g" localSheetId="3" hidden="1">{#N/A,#N/A,FALSE,"Paid Claims";#N/A,#N/A,FALSE,"Cumulative Paid Claims";#N/A,#N/A,FALSE,"Completion Ratios";#N/A,#N/A,FALSE,"Claim Reserve Analysis";#N/A,#N/A,FALSE,"Paid Claims % of Est Inc";#N/A,#N/A,FALSE,"Trends in Pure Premium";#N/A,#N/A,FALSE,"Trends in Paid Claims";#N/A,#N/A,FALSE,"Reserve Analysis"}</definedName>
    <definedName name="g" localSheetId="2" hidden="1">{#N/A,#N/A,FALSE,"Paid Claims";#N/A,#N/A,FALSE,"Cumulative Paid Claims";#N/A,#N/A,FALSE,"Completion Ratios";#N/A,#N/A,FALSE,"Claim Reserve Analysis";#N/A,#N/A,FALSE,"Paid Claims % of Est Inc";#N/A,#N/A,FALSE,"Trends in Pure Premium";#N/A,#N/A,FALSE,"Trends in Paid Claims";#N/A,#N/A,FALSE,"Reserve Analysis"}</definedName>
    <definedName name="g" hidden="1">{#N/A,#N/A,FALSE,"Paid Claims";#N/A,#N/A,FALSE,"Cumulative Paid Claims";#N/A,#N/A,FALSE,"Completion Ratios";#N/A,#N/A,FALSE,"Claim Reserve Analysis";#N/A,#N/A,FALSE,"Paid Claims % of Est Inc";#N/A,#N/A,FALSE,"Trends in Pure Premium";#N/A,#N/A,FALSE,"Trends in Paid Claims";#N/A,#N/A,FALSE,"Reserve Analysis"}</definedName>
    <definedName name="garbage" localSheetId="2" hidden="1">{#N/A,#N/A,TRUE,"B&amp;M Med";#N/A,#N/A,TRUE,"CMED";#N/A,#N/A,TRUE,"Dental";#N/A,#N/A,TRUE,"Dev_Fund";#N/A,#N/A,TRUE,"SFGP Factor Calculation";#N/A,#N/A,TRUE,"Summary of Monthly Billing"}</definedName>
    <definedName name="garbage" hidden="1">{#N/A,#N/A,TRUE,"B&amp;M Med";#N/A,#N/A,TRUE,"CMED";#N/A,#N/A,TRUE,"Dental";#N/A,#N/A,TRUE,"Dev_Fund";#N/A,#N/A,TRUE,"SFGP Factor Calculation";#N/A,#N/A,TRUE,"Summary of Monthly Billing"}</definedName>
    <definedName name="garbage2" localSheetId="2" hidden="1">{#N/A,#N/A,FALSE,"Summary of Monthly Billing";#N/A,#N/A,FALSE,"Narrative  ";#N/A,#N/A,FALSE,"Exp Analysis - RX";#N/A,#N/A,FALSE,"Experience Analysis for Funding";#N/A,#N/A,FALSE,"Development of Funding Reqrmnts";#N/A,#N/A,FALSE,"SFGP Factor Calculation";#N/A,#N/A,FALSE,"Official Notification Letter"}</definedName>
    <definedName name="garbage2" hidden="1">{#N/A,#N/A,FALSE,"Summary of Monthly Billing";#N/A,#N/A,FALSE,"Narrative  ";#N/A,#N/A,FALSE,"Exp Analysis - RX";#N/A,#N/A,FALSE,"Experience Analysis for Funding";#N/A,#N/A,FALSE,"Development of Funding Reqrmnts";#N/A,#N/A,FALSE,"SFGP Factor Calculation";#N/A,#N/A,FALSE,"Official Notification Letter"}</definedName>
    <definedName name="gelp" localSheetId="3" hidden="1">{#N/A,#N/A,FALSE,"OfficeAssets"}</definedName>
    <definedName name="gelp" localSheetId="1" hidden="1">{#N/A,#N/A,FALSE,"OfficeAssets"}</definedName>
    <definedName name="gelp" localSheetId="2" hidden="1">{#N/A,#N/A,FALSE,"OfficeAssets"}</definedName>
    <definedName name="gelp" hidden="1">{#N/A,#N/A,FALSE,"OfficeAssets"}</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hjjh"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pHlth" localSheetId="3" hidden="1">{#N/A,#N/A,FALSE,"Paid Claims";#N/A,#N/A,FALSE,"Cumulative Paid Claims";#N/A,#N/A,FALSE,"Completion Ratios";#N/A,#N/A,FALSE,"Claim Reserve Analysis";#N/A,#N/A,FALSE,"Paid Claims % of Est Inc";#N/A,#N/A,FALSE,"Trends in Pure Premium";#N/A,#N/A,FALSE,"Trends in Paid Claims";#N/A,#N/A,FALSE,"Reserve Analysis"}</definedName>
    <definedName name="GrpHlth" localSheetId="2" hidden="1">{#N/A,#N/A,FALSE,"Paid Claims";#N/A,#N/A,FALSE,"Cumulative Paid Claims";#N/A,#N/A,FALSE,"Completion Ratios";#N/A,#N/A,FALSE,"Claim Reserve Analysis";#N/A,#N/A,FALSE,"Paid Claims % of Est Inc";#N/A,#N/A,FALSE,"Trends in Pure Premium";#N/A,#N/A,FALSE,"Trends in Paid Claims";#N/A,#N/A,FALSE,"Reserve Analysis"}</definedName>
    <definedName name="GrpHlth" hidden="1">{#N/A,#N/A,FALSE,"Paid Claims";#N/A,#N/A,FALSE,"Cumulative Paid Claims";#N/A,#N/A,FALSE,"Completion Ratios";#N/A,#N/A,FALSE,"Claim Reserve Analysis";#N/A,#N/A,FALSE,"Paid Claims % of Est Inc";#N/A,#N/A,FALSE,"Trends in Pure Premium";#N/A,#N/A,FALSE,"Trends in Paid Claims";#N/A,#N/A,FALSE,"Reserve Analysis"}</definedName>
    <definedName name="h" localSheetId="3" hidden="1">{#N/A,#N/A,TRUE,"B&amp;M Med";#N/A,#N/A,TRUE,"CMED";#N/A,#N/A,TRUE,"Dental";#N/A,#N/A,TRUE,"Dev_Fund";#N/A,#N/A,TRUE,"SFGP Factor Calculation";#N/A,#N/A,TRUE,"Summary of Monthly Billing"}</definedName>
    <definedName name="h" localSheetId="2" hidden="1">{#N/A,#N/A,TRUE,"B&amp;M Med";#N/A,#N/A,TRUE,"CMED";#N/A,#N/A,TRUE,"Dental";#N/A,#N/A,TRUE,"Dev_Fund";#N/A,#N/A,TRUE,"SFGP Factor Calculation";#N/A,#N/A,TRUE,"Summary of Monthly Billing"}</definedName>
    <definedName name="h" hidden="1">{#N/A,#N/A,TRUE,"B&amp;M Med";#N/A,#N/A,TRUE,"CMED";#N/A,#N/A,TRUE,"Dental";#N/A,#N/A,TRUE,"Dev_Fund";#N/A,#N/A,TRUE,"SFGP Factor Calculation";#N/A,#N/A,TRUE,"Summary of Monthly Billing"}</definedName>
    <definedName name="Health_Profile_Top_10_Dis_Med_HPD_Range" hidden="1">'[2]HPD page'!$A$1:$M$45</definedName>
    <definedName name="help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Delete_Range" hidden="1">'[2]HPD page'!$A$1:$M$46</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mpact_na_range1" hidden="1">'[2]Impact of Catastrophics page'!$J$10:$J$15</definedName>
    <definedName name="Impact_of_Catastrophic_Medical_Range" hidden="1">'[2]Impact of Catastrophics page'!$A$1:$J$48</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P_MDC_Analysis_Medical_Range" hidden="1">'[2]IP MDC Analysis Med page'!$A$1:$S$38</definedName>
    <definedName name="ip_mdc_na_bob_column1" hidden="1">'[2]IP MDC Analysis Med page'!$O$10:$O$34</definedName>
    <definedName name="j" localSheetId="2" hidden="1">{#N/A,#N/A,FALSE,"Summary of Monthly Billing";#N/A,#N/A,FALSE,"Narrative  ";#N/A,#N/A,FALSE,"Exp Analysis - RX";#N/A,#N/A,FALSE,"Experience Analysis for Funding";#N/A,#N/A,FALSE,"Development of Funding Reqrmnts";#N/A,#N/A,FALSE,"SFGP Factor Calculation";#N/A,#N/A,FALSE,"Official Notification Letter"}</definedName>
    <definedName name="j" hidden="1">{#N/A,#N/A,FALSE,"Summary of Monthly Billing";#N/A,#N/A,FALSE,"Narrative  ";#N/A,#N/A,FALSE,"Exp Analysis - RX";#N/A,#N/A,FALSE,"Experience Analysis for Funding";#N/A,#N/A,FALSE,"Development of Funding Reqrmnts";#N/A,#N/A,FALSE,"SFGP Factor Calculation";#N/A,#N/A,FALSE,"Official Notification Letter"}</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ey_Statistics_Medical_Range" hidden="1">'[2]Key Statistics Medical page'!$A$1:$L$43</definedName>
    <definedName name="level_c_d_user_ind" hidden="1">'[2]ePSM Header Data Page'!$B$29</definedName>
    <definedName name="m"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arcelle." localSheetId="3" hidden="1">{#N/A,#N/A,FALSE,"P&amp;L Rollup"}</definedName>
    <definedName name="marcelle." localSheetId="1" hidden="1">{#N/A,#N/A,FALSE,"P&amp;L Rollup"}</definedName>
    <definedName name="marcelle." localSheetId="2" hidden="1">{#N/A,#N/A,FALSE,"P&amp;L Rollup"}</definedName>
    <definedName name="marcelle." hidden="1">{#N/A,#N/A,FALSE,"P&amp;L Rollup"}</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ultisource_util_curr" hidden="1">'[2]ePSM RxClaim Data Page'!$B$82</definedName>
    <definedName name="multisource_util_prior" hidden="1">'[2]ePSM RxClaim Data Page'!$E$82</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Rates" localSheetId="3" hidden="1">{#N/A,#N/A,FALSE,"Paid Claims";#N/A,#N/A,FALSE,"Cumulative Paid Claims";#N/A,#N/A,FALSE,"Completion Ratios";#N/A,#N/A,FALSE,"Claim Reserve Analysis";#N/A,#N/A,FALSE,"Paid Claims % of Est Inc";#N/A,#N/A,FALSE,"Trends in Pure Premium";#N/A,#N/A,FALSE,"Trends in Paid Claims";#N/A,#N/A,FALSE,"Reserve Analysis"}</definedName>
    <definedName name="NewRates" localSheetId="2" hidden="1">{#N/A,#N/A,FALSE,"Paid Claims";#N/A,#N/A,FALSE,"Cumulative Paid Claims";#N/A,#N/A,FALSE,"Completion Ratios";#N/A,#N/A,FALSE,"Claim Reserve Analysis";#N/A,#N/A,FALSE,"Paid Claims % of Est Inc";#N/A,#N/A,FALSE,"Trends in Pure Premium";#N/A,#N/A,FALSE,"Trends in Paid Claims";#N/A,#N/A,FALSE,"Reserve Analysis"}</definedName>
    <definedName name="NewRates" hidden="1">{#N/A,#N/A,FALSE,"Paid Claims";#N/A,#N/A,FALSE,"Cumulative Paid Claims";#N/A,#N/A,FALSE,"Completion Ratios";#N/A,#N/A,FALSE,"Claim Reserve Analysis";#N/A,#N/A,FALSE,"Paid Claims % of Est Inc";#N/A,#N/A,FALSE,"Trends in Pure Premium";#N/A,#N/A,FALSE,"Trends in Paid Claims";#N/A,#N/A,FALSE,"Reserve Analysis"}</definedName>
    <definedName name="NewRates2"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O_BOB_Data" hidden="1">'[2]ePSM BOB Data Page'!$A$3</definedName>
    <definedName name="NO_Member_Data" hidden="1">'[2]ePSM Member Data Page'!$B$23</definedName>
    <definedName name="NO_Member_Dental_Data" hidden="1">'[2]ePSM Member Data Page'!$O$23</definedName>
    <definedName name="NONAexcelMedicalProduct" hidden="1">'[2]ePSM Fund Code'!$R$7</definedName>
    <definedName name="NONAHFMedicalProduct" hidden="1">'[2]ePSM Fund Code'!$N$7</definedName>
    <definedName name="NONAHFRxMedicalProduct" hidden="1">'[2]ePSM Fund Code'!$P$7</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OfAccountsSelected" hidden="1">'[2]Report Criteria'!$Y$18</definedName>
    <definedName name="NumberOfNetworksSelected" hidden="1">'[2]Report Criteria'!$AA$17</definedName>
    <definedName name="NumberOfPlansSelected" hidden="1">'[2]Report Criteria'!$X$18</definedName>
    <definedName name="NumberOfSubGroupsSelected" hidden="1">'[2]Report Criteria'!$Z$18</definedName>
    <definedName name="Ortho" localSheetId="3" hidden="1">{"EHPCMED",#N/A,FALSE,"EHPC"}</definedName>
    <definedName name="Ortho" localSheetId="2" hidden="1">{"EHPCMED",#N/A,FALSE,"EHPC"}</definedName>
    <definedName name="Ortho" hidden="1">{"EHPCMED",#N/A,FALSE,"EHPC"}</definedName>
    <definedName name="PageNumbers" hidden="1">'[2]Table of Contents'!$M$3:$M$13</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lan_Year">Asmpt!$B$10</definedName>
    <definedName name="PoolingPt" hidden="1">[3]Calculations!$BZ$34</definedName>
    <definedName name="primary_payor_ind" hidden="1">'[2]ePSM Header Data Page'!$B$27</definedName>
    <definedName name="_xlnm.Print_Area" localSheetId="4">Asmpt!$A$1:$E$196</definedName>
    <definedName name="_xlnm.Print_Area" localSheetId="3">'Benefit Summary'!$A$1:$C$43</definedName>
    <definedName name="_xlnm.Print_Area" localSheetId="1">'Cost Estimator'!$A$1:$H$70</definedName>
    <definedName name="_xlnm.Print_Area" localSheetId="0">Instructions!$A$1:$E$27</definedName>
    <definedName name="_xlnm.Print_Area" localSheetId="5">'Plan 1 Calcs'!$A$1:$AF$60</definedName>
    <definedName name="_xlnm.Print_Area" localSheetId="6">'Plan 2 Calcs'!$A$1:$AF$60</definedName>
    <definedName name="_xlnm.Print_Area" localSheetId="7">'Plan 3 Calcs'!$A$1:$AF$60</definedName>
    <definedName name="_xlnm.Print_Area" localSheetId="2">'Tax Savings'!$A$1:$I$20</definedName>
    <definedName name="_xlnm.Print_Titles" localSheetId="5">'Plan 1 Calcs'!$1:$3</definedName>
    <definedName name="_xlnm.Print_Titles" localSheetId="6">'Plan 2 Calcs'!$1:$3</definedName>
    <definedName name="_xlnm.Print_Titles" localSheetId="7">'Plan 3 Calcs'!$1:$3</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Check" hidden="1">'[2]ePSM Header Data Page'!$H$13</definedName>
    <definedName name="Product_Name" hidden="1">'[2]ePSM Header Data Page'!$H$11</definedName>
    <definedName name="Product18_or_22" hidden="1">'[2]ePSM Fund Code'!$L$7</definedName>
    <definedName name="Provider_Network_Exp_Medical_Range" hidden="1">'[2]Prov Net Exp Medical page'!$A$1:$L$42</definedName>
    <definedName name="PSUName" hidden="1">'[2]ePSM Header Data Page'!$B$4</definedName>
    <definedName name="PSUNumber" hidden="1">'[2]ePSM Header Data Page'!$B$3</definedName>
    <definedName name="PY_End">Asmpt!$B$12</definedName>
    <definedName name="PY_Start">Asmpt!$B$11</definedName>
    <definedName name="Report_Criteria_Home" hidden="1">'[2]Report Criteria'!$A$1</definedName>
    <definedName name="Report_Criteria_Range" hidden="1">'[2]Report Criteria'!$A$14:$A$18</definedName>
    <definedName name="Request_ID" hidden="1">'[2]ePSM Header Data Page'!$B$17</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ow_height_current" hidden="1">'[2]Med Cat - Curr page'!$A$44:$IV$44</definedName>
    <definedName name="Run_Date" hidden="1">'[2]ePSM Header Data Page'!$B$23</definedName>
    <definedName name="Run_TOC_Switch" hidden="1">'[2]ePSM Header Data Page'!$Q$4</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sga.profit" localSheetId="3" hidden="1">{#N/A,#N/A,FALSE,"Total SG&amp;A"}</definedName>
    <definedName name="sga.profit" localSheetId="1" hidden="1">{#N/A,#N/A,FALSE,"Total SG&amp;A"}</definedName>
    <definedName name="sga.profit" localSheetId="2" hidden="1">{#N/A,#N/A,FALSE,"Total SG&amp;A"}</definedName>
    <definedName name="sga.profit" hidden="1">{#N/A,#N/A,FALSE,"Total SG&amp;A"}</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Paid_Current" hidden="1">'[2]Rx Key Statistics page'!$D$21</definedName>
    <definedName name="SI_SBP_product_count" hidden="1">'[2]ePSM SBP Page'!$B$12</definedName>
    <definedName name="SI_SBP_Total_Prior_Members" hidden="1">'[2]ePSM SBP Page'!$A$24</definedName>
    <definedName name="singlesource_util_curr" hidden="1">'[2]ePSM RxClaim Data Page'!$B$77</definedName>
    <definedName name="singlesource_util_prior" hidden="1">'[2]ePSM RxClaim Data Page'!$E$77</definedName>
    <definedName name="sort_product" hidden="1">'[2]Report Criteria'!$B$14:$B$17</definedName>
    <definedName name="std" localSheetId="3" hidden="1">{#N/A,#N/A,FALSE,"II.General ";#N/A,#N/A,FALSE,"III.Plan Design";#N/A,#N/A,FALSE,"IV.Delivery System";#N/A,#N/A,FALSE,"V.Reimbursement";#N/A,#N/A,FALSE,"VI.Manage-Satisf.";#N/A,#N/A,FALSE,"VII. &amp;VIII. Other";#N/A,#N/A,FALSE,"Appendix 2";#N/A,#N/A,FALSE,"Appendix 3a";#N/A,#N/A,FALSE,"Appendix 3b";#N/A,#N/A,FALSE,"Appendix 3b(cont.)"}</definedName>
    <definedName name="std" localSheetId="2" hidden="1">{#N/A,#N/A,FALSE,"II.General ";#N/A,#N/A,FALSE,"III.Plan Design";#N/A,#N/A,FALSE,"IV.Delivery System";#N/A,#N/A,FALSE,"V.Reimbursement";#N/A,#N/A,FALSE,"VI.Manage-Satisf.";#N/A,#N/A,FALSE,"VII. &amp;VIII. Other";#N/A,#N/A,FALSE,"Appendix 2";#N/A,#N/A,FALSE,"Appendix 3a";#N/A,#N/A,FALSE,"Appendix 3b";#N/A,#N/A,FALSE,"Appendix 3b(cont.)"}</definedName>
    <definedName name="std" hidden="1">{#N/A,#N/A,FALSE,"II.General ";#N/A,#N/A,FALSE,"III.Plan Design";#N/A,#N/A,FALSE,"IV.Delivery System";#N/A,#N/A,FALSE,"V.Reimbursement";#N/A,#N/A,FALSE,"VI.Manage-Satisf.";#N/A,#N/A,FALSE,"VII. &amp;VIII. Other";#N/A,#N/A,FALSE,"Appendix 2";#N/A,#N/A,FALSE,"Appendix 3a";#N/A,#N/A,FALSE,"Appendix 3b";#N/A,#N/A,FALSE,"Appendix 3b(cont.)"}</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total_days_curr" hidden="1">'[2]ePSM RxClaim Data Page'!$B$85</definedName>
    <definedName name="sum_total_days_prior" hidden="1">'[2]ePSM RxClaim Data Page'!$E$85</definedName>
    <definedName name="tab_report_name" hidden="1">'[2]ePSM Header Data Page'!$T$4</definedName>
    <definedName name="temp_ee8" localSheetId="3" hidden="1">{#N/A,#N/A,FALSE,"Temps"}</definedName>
    <definedName name="temp_ee8" localSheetId="1" hidden="1">{#N/A,#N/A,FALSE,"Temps"}</definedName>
    <definedName name="temp_ee8" localSheetId="2" hidden="1">{#N/A,#N/A,FALSE,"Temps"}</definedName>
    <definedName name="temp_ee8" hidden="1">{#N/A,#N/A,FALSE,"Temps"}</definedName>
    <definedName name="temp_ees"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late" hidden="1">'[2]ePSM Header Data Page'!$O$4</definedName>
    <definedName name="Template_File_Name" hidden="1">'[2]ePSM Header Data Page'!$O$6</definedName>
    <definedName name="Template_Name" hidden="1">'[2]ePSM Header Data Page'!$O$3</definedName>
    <definedName name="Template_Type" hidden="1">'[2]ePSM Header Data Page'!$O$5</definedName>
    <definedName name="Template2" hidden="1">'[2]ePSM Header Data Page'!$O$7</definedName>
    <definedName name="temporary_employees3" localSheetId="3" hidden="1">{#N/A,#N/A,FALSE,"Temps"}</definedName>
    <definedName name="temporary_employees3" localSheetId="1" hidden="1">{#N/A,#N/A,FALSE,"Temps"}</definedName>
    <definedName name="temporary_employees3" localSheetId="2" hidden="1">{#N/A,#N/A,FALSE,"Temps"}</definedName>
    <definedName name="temporary_employees3" hidden="1">{#N/A,#N/A,FALSE,"Temps"}</definedName>
    <definedName name="temporary_employees4" localSheetId="3" hidden="1">{#N/A,#N/A,FALSE,"Temps"}</definedName>
    <definedName name="temporary_employees4" localSheetId="1" hidden="1">{#N/A,#N/A,FALSE,"Temps"}</definedName>
    <definedName name="temporary_employees4" localSheetId="2" hidden="1">{#N/A,#N/A,FALSE,"Temps"}</definedName>
    <definedName name="temporary_employees4" hidden="1">{#N/A,#N/A,FALSE,"Temps"}</definedName>
    <definedName name="temporary_employees5" localSheetId="3" hidden="1">{#N/A,#N/A,FALSE,"Temps"}</definedName>
    <definedName name="temporary_employees5" localSheetId="1" hidden="1">{#N/A,#N/A,FALSE,"Temps"}</definedName>
    <definedName name="temporary_employees5" localSheetId="2" hidden="1">{#N/A,#N/A,FALSE,"Temps"}</definedName>
    <definedName name="temporary_employees5" hidden="1">{#N/A,#N/A,FALSE,"Temps"}</definedName>
    <definedName name="TEMPS"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oc_correct_report_name" hidden="1">'[2]ePSM Header Data Page'!$T$5</definedName>
    <definedName name="TP_Footer_Path" hidden="1">"S:\00368\04Welf\2004 Census\"</definedName>
    <definedName name="TP_Footer_User" hidden="1">"Kristy McClellan"</definedName>
    <definedName name="TP_Footer_Version" hidden="1">"v3.00"</definedName>
    <definedName name="Trend_Analysis_Medical_Range" hidden="1">'[2]Trend Analysis Medical page'!$A$1:$M$38</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ization_and_Unit_Cost_Med_Range" hidden="1">'[2]Util and Unit Cost Med page'!$A$1:$M$44</definedName>
    <definedName name="wbacc" localSheetId="3" hidden="1">{"KCMBSPPO",#N/A,FALSE,"KCMBSWRKSHEET";"SELECTIONSPLAN",#N/A,FALSE,"KCMBSWRKSHEET"}</definedName>
    <definedName name="wbacc" localSheetId="2" hidden="1">{"KCMBSPPO",#N/A,FALSE,"KCMBSWRKSHEET";"SELECTIONSPLAN",#N/A,FALSE,"KCMBSWRKSHEET"}</definedName>
    <definedName name="wbacc" hidden="1">{"KCMBSPPO",#N/A,FALSE,"KCMBSWRKSHEET";"SELECTIONSPLAN",#N/A,FALSE,"KCMBSWRKSHEET"}</definedName>
    <definedName name="wrn.1998._.Renewal." localSheetId="3" hidden="1">{#N/A,#N/A,TRUE,"B&amp;M Med";#N/A,#N/A,TRUE,"CMED";#N/A,#N/A,TRUE,"Dental";#N/A,#N/A,TRUE,"Dev_Fund";#N/A,#N/A,TRUE,"SFGP Factor Calculation";#N/A,#N/A,TRUE,"Summary of Monthly Billing"}</definedName>
    <definedName name="wrn.1998._.Renewal." localSheetId="2" hidden="1">{#N/A,#N/A,TRUE,"B&amp;M Med";#N/A,#N/A,TRUE,"CMED";#N/A,#N/A,TRUE,"Dental";#N/A,#N/A,TRUE,"Dev_Fund";#N/A,#N/A,TRUE,"SFGP Factor Calculation";#N/A,#N/A,TRUE,"Summary of Monthly Billing"}</definedName>
    <definedName name="wrn.1998._.Renewal." hidden="1">{#N/A,#N/A,TRUE,"B&amp;M Med";#N/A,#N/A,TRUE,"CMED";#N/A,#N/A,TRUE,"Dental";#N/A,#N/A,TRUE,"Dev_Fund";#N/A,#N/A,TRUE,"SFGP Factor Calculation";#N/A,#N/A,TRUE,"Summary of Monthly Billing"}</definedName>
    <definedName name="wrn.Annual." localSheetId="3"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localSheetId="2"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udget._.All._.Sheets."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s."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1" hidden="1">{#N/A,#N/A,FALSE,"P&amp;L Rollup";#N/A,#N/A,FALSE,"Total SG&amp;A";#N/A,#N/A,FALSE,"Other Revenue";#N/A,#N/A,FALSE,"SG&amp;A Input";#N/A,#N/A,FALSE,"Salaries";#N/A,#N/A,FALSE,"Misc. Pyrl Accts";#N/A,#N/A,FALSE,"Temps";#N/A,#N/A,FALSE,"Overtime";#N/A,#N/A,FALSE,"Travel";#N/A,#N/A,FALSE,"ComputerAssets";#N/A,#N/A,FALSE,"OfficeAssets"}</definedName>
    <definedName name="wrn.capital" localSheetId="3" hidden="1">{#N/A,#N/A,FALSE,"OfficeAssets"}</definedName>
    <definedName name="wrn.capital" localSheetId="1" hidden="1">{#N/A,#N/A,FALSE,"OfficeAssets"}</definedName>
    <definedName name="wrn.capital" localSheetId="2" hidden="1">{#N/A,#N/A,FALSE,"OfficeAssets"}</definedName>
    <definedName name="wrn.capital" hidden="1">{#N/A,#N/A,FALSE,"OfficeAssets"}</definedName>
    <definedName name="wrn.Capital._.Assets._.Computer." localSheetId="3" hidden="1">{#N/A,#N/A,FALSE,"ComputerAssets"}</definedName>
    <definedName name="wrn.Capital._.Assets._.Computer." localSheetId="1" hidden="1">{#N/A,#N/A,FALSE,"ComputerAssets"}</definedName>
    <definedName name="wrn.Capital._.Assets._.Computer." localSheetId="2" hidden="1">{#N/A,#N/A,FALSE,"ComputerAssets"}</definedName>
    <definedName name="wrn.Capital._.Assets._.Computer." hidden="1">{#N/A,#N/A,FALSE,"ComputerAssets"}</definedName>
    <definedName name="wrn.Capital._.Assets._.Office." localSheetId="3" hidden="1">{#N/A,#N/A,FALSE,"OfficeAssets"}</definedName>
    <definedName name="wrn.Capital._.Assets._.Office." localSheetId="1" hidden="1">{#N/A,#N/A,FALSE,"OfficeAssets"}</definedName>
    <definedName name="wrn.Capital._.Assets._.Office." localSheetId="2" hidden="1">{#N/A,#N/A,FALSE,"OfficeAssets"}</definedName>
    <definedName name="wrn.Capital._.Assets._.Office." hidden="1">{#N/A,#N/A,FALSE,"OfficeAssets"}</definedName>
    <definedName name="wrn.capital1" localSheetId="3" hidden="1">{#N/A,#N/A,FALSE,"OfficeAssets"}</definedName>
    <definedName name="wrn.capital1" localSheetId="1" hidden="1">{#N/A,#N/A,FALSE,"OfficeAssets"}</definedName>
    <definedName name="wrn.capital1" localSheetId="2" hidden="1">{#N/A,#N/A,FALSE,"OfficeAssets"}</definedName>
    <definedName name="wrn.capital1" hidden="1">{#N/A,#N/A,FALSE,"OfficeAssets"}</definedName>
    <definedName name="wrn.ClaimSummaries." localSheetId="3" hidden="1">{"CombinedSum",#N/A,FALSE,"ClaimAndRevenue";"WAClaims",#N/A,FALSE,"ClaimAndRevenue";"IDClaims",#N/A,FALSE,"ClaimAndRevenue";"ORClaims",#N/A,FALSE,"ClaimAndRevenue";"RXClaims",#N/A,FALSE,"ClaimAndRevenue"}</definedName>
    <definedName name="wrn.ClaimSummaries." localSheetId="2" hidden="1">{"CombinedSum",#N/A,FALSE,"ClaimAndRevenue";"WAClaims",#N/A,FALSE,"ClaimAndRevenue";"IDClaims",#N/A,FALSE,"ClaimAndRevenue";"ORClaims",#N/A,FALSE,"ClaimAndRevenue";"RXClaims",#N/A,FALSE,"ClaimAndRevenue"}</definedName>
    <definedName name="wrn.ClaimSummaries." hidden="1">{"CombinedSum",#N/A,FALSE,"ClaimAndRevenue";"WAClaims",#N/A,FALSE,"ClaimAndRevenue";"IDClaims",#N/A,FALSE,"ClaimAndRevenue";"ORClaims",#N/A,FALSE,"ClaimAndRevenue";"RXClaims",#N/A,FALSE,"ClaimAndRevenue"}</definedName>
    <definedName name="wrn.Data._.Output." localSheetId="3" hidden="1">{#N/A,#N/A,TRUE,"General Group Info";#N/A,#N/A,TRUE,"Census";#N/A,#N/A,TRUE,"Claims Report";#N/A,#N/A,TRUE,"Prior Claims";#N/A,#N/A,TRUE,"Costs"}</definedName>
    <definedName name="wrn.Data._.Output." localSheetId="2" hidden="1">{#N/A,#N/A,TRUE,"General Group Info";#N/A,#N/A,TRUE,"Census";#N/A,#N/A,TRUE,"Claims Report";#N/A,#N/A,TRUE,"Prior Claims";#N/A,#N/A,TRUE,"Costs"}</definedName>
    <definedName name="wrn.Data._.Output." hidden="1">{#N/A,#N/A,TRUE,"General Group Info";#N/A,#N/A,TRUE,"Census";#N/A,#N/A,TRUE,"Claims Report";#N/A,#N/A,TRUE,"Prior Claims";#N/A,#N/A,TRUE,"Costs"}</definedName>
    <definedName name="wrn.EH_HIGHOPTION." localSheetId="3" hidden="1">{"EHPCHIGH",#N/A,FALSE,"EHPC"}</definedName>
    <definedName name="wrn.EH_HIGHOPTION." localSheetId="2" hidden="1">{"EHPCHIGH",#N/A,FALSE,"EHPC"}</definedName>
    <definedName name="wrn.EH_HIGHOPTION." hidden="1">{"EHPCHIGH",#N/A,FALSE,"EHPC"}</definedName>
    <definedName name="wrn.EH_LOWOPTION." localSheetId="3" hidden="1">{"EHPCLOW",#N/A,FALSE,"EHPC"}</definedName>
    <definedName name="wrn.EH_LOWOPTION." localSheetId="2" hidden="1">{"EHPCLOW",#N/A,FALSE,"EHPC"}</definedName>
    <definedName name="wrn.EH_LOWOPTION." hidden="1">{"EHPCLOW",#N/A,FALSE,"EHPC"}</definedName>
    <definedName name="wrn.EH_MEDOPTION." localSheetId="3" hidden="1">{"EHPCMED",#N/A,FALSE,"EHPC"}</definedName>
    <definedName name="wrn.EH_MEDOPTION." localSheetId="2" hidden="1">{"EHPCMED",#N/A,FALSE,"EHPC"}</definedName>
    <definedName name="wrn.EH_MEDOPTION." hidden="1">{"EHPCMED",#N/A,FALSE,"EHPC"}</definedName>
    <definedName name="wrn.EHPC_ALL." localSheetId="3" hidden="1">{"EHPCHIGH",#N/A,FALSE,"EHPC";"EHPCMED",#N/A,FALSE,"EHPC";"EHPCLOW",#N/A,FALSE,"EHPC"}</definedName>
    <definedName name="wrn.EHPC_ALL." localSheetId="2" hidden="1">{"EHPCHIGH",#N/A,FALSE,"EHPC";"EHPCMED",#N/A,FALSE,"EHPC";"EHPCLOW",#N/A,FALSE,"EHPC"}</definedName>
    <definedName name="wrn.EHPC_ALL." hidden="1">{"EHPCHIGH",#N/A,FALSE,"EHPC";"EHPCMED",#N/A,FALSE,"EHPC";"EHPCLOW",#N/A,FALSE,"EHPC"}</definedName>
    <definedName name="wrn.enrollment._.schedule." localSheetId="3" hidden="1">{#N/A,#N/A,FALSE,"Enrollment Summary";#N/A,#N/A,FALSE,"Plan";#N/A,#N/A,FALSE,"State";#N/A,#N/A,FALSE,"Change "}</definedName>
    <definedName name="wrn.enrollment._.schedule." localSheetId="1" hidden="1">{#N/A,#N/A,FALSE,"Enrollment Summary";#N/A,#N/A,FALSE,"Plan";#N/A,#N/A,FALSE,"State";#N/A,#N/A,FALSE,"Change "}</definedName>
    <definedName name="wrn.enrollment._.schedule." localSheetId="2" hidden="1">{#N/A,#N/A,FALSE,"Enrollment Summary";#N/A,#N/A,FALSE,"Plan";#N/A,#N/A,FALSE,"State";#N/A,#N/A,FALSE,"Change "}</definedName>
    <definedName name="wrn.enrollment._.schedule." hidden="1">{#N/A,#N/A,FALSE,"Enrollment Summary";#N/A,#N/A,FALSE,"Plan";#N/A,#N/A,FALSE,"State";#N/A,#N/A,FALSE,"Change "}</definedName>
    <definedName name="wrn.exo"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KCMBS_ALL." localSheetId="3" hidden="1">{"KCMBSPPO",#N/A,FALSE,"KCMBSWRKSHEET";"SELECTIONSPLAN",#N/A,FALSE,"KCMBSWRKSHEET"}</definedName>
    <definedName name="wrn.KCMBS_ALL." localSheetId="2" hidden="1">{"KCMBSPPO",#N/A,FALSE,"KCMBSWRKSHEET";"SELECTIONSPLAN",#N/A,FALSE,"KCMBSWRKSHEET"}</definedName>
    <definedName name="wrn.KCMBS_ALL." hidden="1">{"KCMBSPPO",#N/A,FALSE,"KCMBSWRKSHEET";"SELECTIONSPLAN",#N/A,FALSE,"KCMBSWRKSHEET"}</definedName>
    <definedName name="wrn.kcmbsppo." localSheetId="3" hidden="1">{"KCMBSPPO",#N/A,FALSE,"KCMBSWRKSHEET"}</definedName>
    <definedName name="wrn.kcmbsppo." localSheetId="2" hidden="1">{"KCMBSPPO",#N/A,FALSE,"KCMBSWRKSHEET"}</definedName>
    <definedName name="wrn.kcmbsppo." hidden="1">{"KCMBSPPO",#N/A,FALSE,"KCMBSWRKSHEET"}</definedName>
    <definedName name="wrn.Misc._.Payroll._.Accounts." localSheetId="3" hidden="1">{#N/A,#N/A,FALSE,"Misc. Pyrl Accts"}</definedName>
    <definedName name="wrn.Misc._.Payroll._.Accounts." localSheetId="1" hidden="1">{#N/A,#N/A,FALSE,"Misc. Pyrl Accts"}</definedName>
    <definedName name="wrn.Misc._.Payroll._.Accounts." localSheetId="2" hidden="1">{#N/A,#N/A,FALSE,"Misc. Pyrl Accts"}</definedName>
    <definedName name="wrn.Misc._.Payroll._.Accounts." hidden="1">{#N/A,#N/A,FALSE,"Misc. Pyrl Accts"}</definedName>
    <definedName name="wrn.Monthly." localSheetId="3" hidden="1">{#N/A,#N/A,FALSE,"Form 102";#N/A,#N/A,FALSE,"Form 103";#N/A,#N/A,FALSE,"Form 103A";#N/A,#N/A,FALSE,"Form 105A";#N/A,#N/A,FALSE,"Form 105B";#N/A,#N/A,FALSE,"FORM 108 (Consolidated)";#N/A,#N/A,FALSE,"FORM 108 (BU 41270)";#N/A,#N/A,FALSE,"FORM 108 (BU 41273)";#N/A,#N/A,FALSE,"FORM 108 (BU 41276)"}</definedName>
    <definedName name="wrn.Monthly." localSheetId="1" hidden="1">{#N/A,#N/A,FALSE,"Form 102";#N/A,#N/A,FALSE,"Form 103";#N/A,#N/A,FALSE,"Form 103A";#N/A,#N/A,FALSE,"Form 105A";#N/A,#N/A,FALSE,"Form 105B";#N/A,#N/A,FALSE,"FORM 108 (Consolidated)";#N/A,#N/A,FALSE,"FORM 108 (BU 41270)";#N/A,#N/A,FALSE,"FORM 108 (BU 41273)";#N/A,#N/A,FALSE,"FORM 108 (BU 41276)"}</definedName>
    <definedName name="wrn.Monthly." localSheetId="2" hidden="1">{#N/A,#N/A,FALSE,"Form 102";#N/A,#N/A,FALSE,"Form 103";#N/A,#N/A,FALSE,"Form 103A";#N/A,#N/A,FALSE,"Form 105A";#N/A,#N/A,FALSE,"Form 105B";#N/A,#N/A,FALSE,"FORM 108 (Consolidated)";#N/A,#N/A,FALSE,"FORM 108 (BU 41270)";#N/A,#N/A,FALSE,"FORM 108 (BU 41273)";#N/A,#N/A,FALSE,"FORM 108 (BU 41276)"}</definedName>
    <definedName name="wrn.Monthly." hidden="1">{#N/A,#N/A,FALSE,"Form 102";#N/A,#N/A,FALSE,"Form 103";#N/A,#N/A,FALSE,"Form 103A";#N/A,#N/A,FALSE,"Form 105A";#N/A,#N/A,FALSE,"Form 105B";#N/A,#N/A,FALSE,"FORM 108 (Consolidated)";#N/A,#N/A,FALSE,"FORM 108 (BU 41270)";#N/A,#N/A,FALSE,"FORM 108 (BU 41273)";#N/A,#N/A,FALSE,"FORM 108 (BU 41276)"}</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ther._.Revenue." localSheetId="3" hidden="1">{#N/A,#N/A,FALSE,"Other Revenue"}</definedName>
    <definedName name="wrn.Other._.Revenue." localSheetId="1" hidden="1">{#N/A,#N/A,FALSE,"Other Revenue"}</definedName>
    <definedName name="wrn.Other._.Revenue." localSheetId="2" hidden="1">{#N/A,#N/A,FALSE,"Other Revenue"}</definedName>
    <definedName name="wrn.Other._.Revenue." hidden="1">{#N/A,#N/A,FALSE,"Other Revenue"}</definedName>
    <definedName name="wrn.OverTime." localSheetId="3" hidden="1">{#N/A,#N/A,FALSE,"Overtime"}</definedName>
    <definedName name="wrn.OverTime." localSheetId="1" hidden="1">{#N/A,#N/A,FALSE,"Overtime"}</definedName>
    <definedName name="wrn.OverTime." localSheetId="2" hidden="1">{#N/A,#N/A,FALSE,"Overtime"}</definedName>
    <definedName name="wrn.OverTime." hidden="1">{#N/A,#N/A,FALSE,"Overtime"}</definedName>
    <definedName name="wrn.Print._.Full." localSheetId="3" hidden="1">{#N/A,#N/A,FALSE,"Paid Claims";#N/A,#N/A,FALSE,"Cumulative Paid Claims";#N/A,#N/A,FALSE,"Completion Ratios";#N/A,#N/A,FALSE,"Claim Reserve Analysis";#N/A,#N/A,FALSE,"Paid Claims % of Est Inc";#N/A,#N/A,FALSE,"Trends in Pure Premium";#N/A,#N/A,FALSE,"Trends in Paid Claims";#N/A,#N/A,FALSE,"Reserve Analysis"}</definedName>
    <definedName name="wrn.Print._.Full." localSheetId="2"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All."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ofit._.and._.Loss._.Rollup." localSheetId="3" hidden="1">{#N/A,#N/A,FALSE,"P&amp;L Rollup"}</definedName>
    <definedName name="wrn.Profit._.and._.Loss._.Rollup." localSheetId="1" hidden="1">{#N/A,#N/A,FALSE,"P&amp;L Rollup"}</definedName>
    <definedName name="wrn.Profit._.and._.Loss._.Rollup." localSheetId="2" hidden="1">{#N/A,#N/A,FALSE,"P&amp;L Rollup"}</definedName>
    <definedName name="wrn.Profit._.and._.Loss._.Rollup." hidden="1">{#N/A,#N/A,FALSE,"P&amp;L Rollup"}</definedName>
    <definedName name="wrn.profit_and_loss_rollup2" localSheetId="3" hidden="1">{#N/A,#N/A,FALSE,"P&amp;L Rollup"}</definedName>
    <definedName name="wrn.profit_and_loss_rollup2" localSheetId="1" hidden="1">{#N/A,#N/A,FALSE,"P&amp;L Rollup"}</definedName>
    <definedName name="wrn.profit_and_loss_rollup2" localSheetId="2" hidden="1">{#N/A,#N/A,FALSE,"P&amp;L Rollup"}</definedName>
    <definedName name="wrn.profit_and_loss_rollup2" hidden="1">{#N/A,#N/A,FALSE,"P&amp;L Rollup"}</definedName>
    <definedName name="wrn.profit4" localSheetId="3" hidden="1">{#N/A,#N/A,FALSE,"P&amp;L Rollup"}</definedName>
    <definedName name="wrn.profit4" localSheetId="1" hidden="1">{#N/A,#N/A,FALSE,"P&amp;L Rollup"}</definedName>
    <definedName name="wrn.profit4" localSheetId="2" hidden="1">{#N/A,#N/A,FALSE,"P&amp;L Rollup"}</definedName>
    <definedName name="wrn.profit4" hidden="1">{#N/A,#N/A,FALSE,"P&amp;L Rollup"}</definedName>
    <definedName name="wrn.Qtrly."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uarterly." localSheetId="3"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localSheetId="2"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hidden="1">{#N/A,#N/A,FALSE,"Telephone";#N/A,#N/A,FALSE,"Assessed (2)";#N/A,#N/A,FALSE,"Benefit Utilization";#N/A,#N/A,FALSE,"Case Disposition (2)";#N/A,#N/A,FALSE,"Presenting (2)";#N/A,#N/A,FALSE,"Referral Source";#N/A,#N/A,FALSE,"Info Source";#N/A,#N/A,FALSE,"Membership cont";#N/A,#N/A,FALSE,"Membership";#N/A,#N/A,FALSE,"Contents ";#N/A,#N/A,FALSE,"Cover Sheet"}</definedName>
    <definedName name="wrn.RENEWAL." localSheetId="3" hidden="1">{"MEDICAL",#N/A,FALSE,"A";"DENTAL",#N/A,FALSE,"A";"RX",#N/A,FALSE,"A"}</definedName>
    <definedName name="wrn.RENEWAL." localSheetId="2" hidden="1">{"MEDICAL",#N/A,FALSE,"A";"DENTAL",#N/A,FALSE,"A";"RX",#N/A,FALSE,"A"}</definedName>
    <definedName name="wrn.RENEWAL." hidden="1">{"MEDICAL",#N/A,FALSE,"A";"DENTAL",#N/A,FALSE,"A";"RX",#N/A,FALSE,"A"}</definedName>
    <definedName name="wrn.Reports." localSheetId="3" hidden="1">{#N/A,#N/A,FALSE,"Membership";#N/A,#N/A,FALSE,"Membership cont";#N/A,#N/A,FALSE,"Info Source";#N/A,#N/A,FALSE,"Referral Source";#N/A,#N/A,FALSE,"Presenting";#N/A,#N/A,FALSE,"Case Disposition";#N/A,#N/A,FALSE,"Assessed";#N/A,#N/A,FALSE,"Telephone"}</definedName>
    <definedName name="wrn.Reports." localSheetId="2" hidden="1">{#N/A,#N/A,FALSE,"Membership";#N/A,#N/A,FALSE,"Membership cont";#N/A,#N/A,FALSE,"Info Source";#N/A,#N/A,FALSE,"Referral Source";#N/A,#N/A,FALSE,"Presenting";#N/A,#N/A,FALSE,"Case Disposition";#N/A,#N/A,FALSE,"Assessed";#N/A,#N/A,FALSE,"Telephone"}</definedName>
    <definedName name="wrn.Reports." hidden="1">{#N/A,#N/A,FALSE,"Membership";#N/A,#N/A,FALSE,"Membership cont";#N/A,#N/A,FALSE,"Info Source";#N/A,#N/A,FALSE,"Referral Source";#N/A,#N/A,FALSE,"Presenting";#N/A,#N/A,FALSE,"Case Disposition";#N/A,#N/A,FALSE,"Assessed";#N/A,#N/A,FALSE,"Telephone"}</definedName>
    <definedName name="wrn.Salaries." localSheetId="3" hidden="1">{#N/A,#N/A,FALSE,"Salaries"}</definedName>
    <definedName name="wrn.Salaries." localSheetId="1" hidden="1">{#N/A,#N/A,FALSE,"Salaries"}</definedName>
    <definedName name="wrn.Salaries." localSheetId="2" hidden="1">{#N/A,#N/A,FALSE,"Salaries"}</definedName>
    <definedName name="wrn.Salaries." hidden="1">{#N/A,#N/A,FALSE,"Salaries"}</definedName>
    <definedName name="wrn.Selections_1." localSheetId="3" hidden="1">{"Selections_1",#N/A,FALSE,"KCMBSWRKSHEET"}</definedName>
    <definedName name="wrn.Selections_1." localSheetId="2" hidden="1">{"Selections_1",#N/A,FALSE,"KCMBSWRKSHEET"}</definedName>
    <definedName name="wrn.Selections_1." hidden="1">{"Selections_1",#N/A,FALSE,"KCMBSWRKSHEET"}</definedName>
    <definedName name="wrn.Selections_2." localSheetId="3" hidden="1">{"Selections_2",#N/A,FALSE,"KCMBSWRKSHEET"}</definedName>
    <definedName name="wrn.Selections_2." localSheetId="2" hidden="1">{"Selections_2",#N/A,FALSE,"KCMBSWRKSHEET"}</definedName>
    <definedName name="wrn.Selections_2." hidden="1">{"Selections_2",#N/A,FALSE,"KCMBSWRKSHEET"}</definedName>
    <definedName name="wrn.SelectionsBoth." localSheetId="3" hidden="1">{"Selections_1",#N/A,FALSE,"KCMBSWRKSHEET";"Selections_2",#N/A,FALSE,"KCMBSWRKSHEET"}</definedName>
    <definedName name="wrn.SelectionsBoth." localSheetId="2" hidden="1">{"Selections_1",#N/A,FALSE,"KCMBSWRKSHEET";"Selections_2",#N/A,FALSE,"KCMBSWRKSHEET"}</definedName>
    <definedName name="wrn.SelectionsBoth." hidden="1">{"Selections_1",#N/A,FALSE,"KCMBSWRKSHEET";"Selections_2",#N/A,FALSE,"KCMBSWRKSHEET"}</definedName>
    <definedName name="wrn.SGA._.Input." localSheetId="3" hidden="1">{#N/A,#N/A,FALSE,"SG&amp;A Input"}</definedName>
    <definedName name="wrn.SGA._.Input." localSheetId="1" hidden="1">{#N/A,#N/A,FALSE,"SG&amp;A Input"}</definedName>
    <definedName name="wrn.SGA._.Input." localSheetId="2" hidden="1">{#N/A,#N/A,FALSE,"SG&amp;A Input"}</definedName>
    <definedName name="wrn.SGA._.Input." hidden="1">{#N/A,#N/A,FALSE,"SG&amp;A Input"}</definedName>
    <definedName name="wrn.SGA._.Total." localSheetId="3" hidden="1">{#N/A,#N/A,FALSE,"Total SG&amp;A"}</definedName>
    <definedName name="wrn.SGA._.Total." localSheetId="1" hidden="1">{#N/A,#N/A,FALSE,"Total SG&amp;A"}</definedName>
    <definedName name="wrn.SGA._.Total." localSheetId="2" hidden="1">{#N/A,#N/A,FALSE,"Total SG&amp;A"}</definedName>
    <definedName name="wrn.SGA._.Total." hidden="1">{#N/A,#N/A,FALSE,"Total SG&amp;A"}</definedName>
    <definedName name="wrn.Temporary._.Employees." localSheetId="3" hidden="1">{#N/A,#N/A,FALSE,"Temps"}</definedName>
    <definedName name="wrn.Temporary._.Employees." localSheetId="1" hidden="1">{#N/A,#N/A,FALSE,"Temps"}</definedName>
    <definedName name="wrn.Temporary._.Employees." localSheetId="2" hidden="1">{#N/A,#N/A,FALSE,"Temps"}</definedName>
    <definedName name="wrn.Temporary._.Employees." hidden="1">{#N/A,#N/A,FALSE,"Temps"}</definedName>
    <definedName name="wrn.temporary._.Employees2" localSheetId="3" hidden="1">{#N/A,#N/A,FALSE,"Temps"}</definedName>
    <definedName name="wrn.temporary._.Employees2" localSheetId="1" hidden="1">{#N/A,#N/A,FALSE,"Temps"}</definedName>
    <definedName name="wrn.temporary._.Employees2" localSheetId="2" hidden="1">{#N/A,#N/A,FALSE,"Temps"}</definedName>
    <definedName name="wrn.temporary._.Employees2" hidden="1">{#N/A,#N/A,FALSE,"Temps"}</definedName>
    <definedName name="wrn.temporary_employees8" localSheetId="3" hidden="1">{#N/A,#N/A,FALSE,"Temps"}</definedName>
    <definedName name="wrn.temporary_employees8" localSheetId="1" hidden="1">{#N/A,#N/A,FALSE,"Temps"}</definedName>
    <definedName name="wrn.temporary_employees8" localSheetId="2" hidden="1">{#N/A,#N/A,FALSE,"Temps"}</definedName>
    <definedName name="wrn.temporary_employees8" hidden="1">{#N/A,#N/A,FALSE,"Temps"}</definedName>
    <definedName name="wrn.Wacortg96." localSheetId="3" hidden="1">{#N/A,#N/A,FALSE,"Summary of Monthly Billing";#N/A,#N/A,FALSE,"Narrative  ";#N/A,#N/A,FALSE,"Exp Analysis - RX";#N/A,#N/A,FALSE,"Experience Analysis for Funding";#N/A,#N/A,FALSE,"Development of Funding Reqrmnts";#N/A,#N/A,FALSE,"SFGP Factor Calculation";#N/A,#N/A,FALSE,"Official Notification Letter"}</definedName>
    <definedName name="wrn.Wacortg96." localSheetId="2" hidden="1">{#N/A,#N/A,FALSE,"Summary of Monthly Billing";#N/A,#N/A,FALSE,"Narrative  ";#N/A,#N/A,FALSE,"Exp Analysis - RX";#N/A,#N/A,FALSE,"Experience Analysis for Funding";#N/A,#N/A,FALSE,"Development of Funding Reqrmnts";#N/A,#N/A,FALSE,"SFGP Factor Calculation";#N/A,#N/A,FALSE,"Official Notification Letter"}</definedName>
    <definedName name="wrn.Wacortg96." hidden="1">{#N/A,#N/A,FALSE,"Summary of Monthly Billing";#N/A,#N/A,FALSE,"Narrative  ";#N/A,#N/A,FALSE,"Exp Analysis - RX";#N/A,#N/A,FALSE,"Experience Analysis for Funding";#N/A,#N/A,FALSE,"Development of Funding Reqrmnts";#N/A,#N/A,FALSE,"SFGP Factor Calculation";#N/A,#N/A,FALSE,"Official Notification Letter"}</definedName>
    <definedName name="wrn.YearEnd."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 l="1"/>
  <c r="B30" i="12" l="1"/>
  <c r="C24" i="10"/>
  <c r="B19" i="17"/>
  <c r="B7" i="17"/>
  <c r="C11" i="14" l="1"/>
  <c r="C10" i="14"/>
  <c r="C29" i="15" l="1"/>
  <c r="C28" i="15"/>
  <c r="N36" i="13"/>
  <c r="C29" i="13"/>
  <c r="C28" i="13"/>
  <c r="C17" i="10" l="1"/>
  <c r="A201" i="12"/>
  <c r="C20" i="10" l="1"/>
  <c r="C18" i="10"/>
  <c r="E17" i="1"/>
  <c r="K16" i="1"/>
  <c r="J16" i="1"/>
  <c r="J51" i="1"/>
  <c r="S12" i="16"/>
  <c r="S12" i="15"/>
  <c r="S12" i="13"/>
  <c r="R12" i="16"/>
  <c r="Q12" i="16"/>
  <c r="P12" i="16"/>
  <c r="R12" i="15"/>
  <c r="Q12" i="15"/>
  <c r="P12" i="15"/>
  <c r="T12" i="16"/>
  <c r="T12" i="15"/>
  <c r="T12" i="13"/>
  <c r="R12" i="13"/>
  <c r="Q12" i="13"/>
  <c r="P12" i="13"/>
  <c r="O12" i="16"/>
  <c r="N12" i="16"/>
  <c r="O12" i="15"/>
  <c r="N12" i="15"/>
  <c r="O12" i="13"/>
  <c r="N12" i="13"/>
  <c r="B12" i="16"/>
  <c r="C12" i="16"/>
  <c r="B12" i="15"/>
  <c r="C12" i="15"/>
  <c r="B12" i="13"/>
  <c r="C17" i="1"/>
  <c r="C22" i="10"/>
  <c r="C23" i="10"/>
  <c r="C49" i="15"/>
  <c r="C50" i="15" s="1"/>
  <c r="C52" i="15" s="1"/>
  <c r="C51" i="15"/>
  <c r="S24" i="16"/>
  <c r="S23" i="16"/>
  <c r="S22" i="16"/>
  <c r="S21" i="16"/>
  <c r="S20" i="16"/>
  <c r="S19" i="16"/>
  <c r="S18" i="16"/>
  <c r="S17" i="16"/>
  <c r="S16" i="16"/>
  <c r="S15" i="16"/>
  <c r="S24" i="15"/>
  <c r="S23" i="15"/>
  <c r="S22" i="15"/>
  <c r="S21" i="15"/>
  <c r="S20" i="15"/>
  <c r="S19" i="15"/>
  <c r="S18" i="15"/>
  <c r="S17" i="15"/>
  <c r="S16" i="15"/>
  <c r="S15" i="15"/>
  <c r="S24" i="13"/>
  <c r="S23" i="13"/>
  <c r="S22" i="13"/>
  <c r="S21" i="13"/>
  <c r="S20" i="13"/>
  <c r="S19" i="13"/>
  <c r="S18" i="13"/>
  <c r="S17" i="13"/>
  <c r="S16" i="13"/>
  <c r="S15" i="13"/>
  <c r="P16" i="13"/>
  <c r="B15" i="13"/>
  <c r="C15" i="13" s="1"/>
  <c r="R22" i="16"/>
  <c r="Q22" i="16"/>
  <c r="P22" i="16"/>
  <c r="O22" i="16"/>
  <c r="R20" i="16"/>
  <c r="Q20" i="16"/>
  <c r="P20" i="16"/>
  <c r="O20" i="16"/>
  <c r="R19" i="16"/>
  <c r="Q19" i="16"/>
  <c r="P19" i="16"/>
  <c r="O19" i="16"/>
  <c r="R22" i="15"/>
  <c r="Q22" i="15"/>
  <c r="P22" i="15"/>
  <c r="O22" i="15"/>
  <c r="R20" i="15"/>
  <c r="Q20" i="15"/>
  <c r="P20" i="15"/>
  <c r="O20" i="15"/>
  <c r="R19" i="15"/>
  <c r="Q19" i="15"/>
  <c r="P19" i="15"/>
  <c r="O19" i="15"/>
  <c r="R22" i="13"/>
  <c r="Q22" i="13"/>
  <c r="P22" i="13"/>
  <c r="O22" i="13"/>
  <c r="R20" i="13"/>
  <c r="Q20" i="13"/>
  <c r="P20" i="13"/>
  <c r="O20" i="13"/>
  <c r="R19" i="13"/>
  <c r="Q19" i="13"/>
  <c r="P19" i="13"/>
  <c r="O19" i="13"/>
  <c r="R16" i="16"/>
  <c r="Q16" i="16"/>
  <c r="P16" i="16"/>
  <c r="O16" i="16"/>
  <c r="R16" i="15"/>
  <c r="Q16" i="15"/>
  <c r="P16" i="15"/>
  <c r="O16" i="15"/>
  <c r="T16" i="16"/>
  <c r="T17" i="16"/>
  <c r="T18" i="16"/>
  <c r="T19" i="16"/>
  <c r="T20" i="16"/>
  <c r="T21" i="16"/>
  <c r="T22" i="16"/>
  <c r="T23" i="16"/>
  <c r="T24" i="16"/>
  <c r="T16" i="15"/>
  <c r="T17" i="15"/>
  <c r="T18" i="15"/>
  <c r="T19" i="15"/>
  <c r="T20" i="15"/>
  <c r="T21" i="15"/>
  <c r="T22" i="15"/>
  <c r="T23" i="15"/>
  <c r="T24" i="15"/>
  <c r="T16" i="13"/>
  <c r="T17" i="13"/>
  <c r="T18" i="13"/>
  <c r="T19" i="13"/>
  <c r="T20" i="13"/>
  <c r="T21" i="13"/>
  <c r="T22" i="13"/>
  <c r="T23" i="13"/>
  <c r="T24" i="13"/>
  <c r="R16" i="13"/>
  <c r="Q16" i="13"/>
  <c r="O16" i="13"/>
  <c r="O15" i="16"/>
  <c r="N24" i="13"/>
  <c r="N23" i="13"/>
  <c r="N22" i="13"/>
  <c r="N21" i="13"/>
  <c r="N20" i="13"/>
  <c r="N19" i="13"/>
  <c r="N18" i="13"/>
  <c r="N17" i="13"/>
  <c r="N16" i="13"/>
  <c r="N16" i="15"/>
  <c r="N17" i="15"/>
  <c r="N18" i="15"/>
  <c r="N19" i="15"/>
  <c r="N20" i="15"/>
  <c r="N21" i="15"/>
  <c r="N22" i="15"/>
  <c r="N23" i="15"/>
  <c r="N24" i="15"/>
  <c r="N24" i="16"/>
  <c r="N23" i="16"/>
  <c r="N22" i="16"/>
  <c r="N21" i="16"/>
  <c r="N20" i="16"/>
  <c r="N19" i="16"/>
  <c r="N18" i="16"/>
  <c r="N17" i="16"/>
  <c r="N16" i="16"/>
  <c r="B22" i="16"/>
  <c r="F22" i="16" s="1"/>
  <c r="C22" i="16"/>
  <c r="B23" i="16"/>
  <c r="B24" i="16"/>
  <c r="B16" i="16"/>
  <c r="C16" i="16" s="1"/>
  <c r="B17" i="16"/>
  <c r="C17" i="16"/>
  <c r="B18" i="16"/>
  <c r="L18" i="16" s="1"/>
  <c r="C18" i="16"/>
  <c r="B19" i="16"/>
  <c r="B20" i="16"/>
  <c r="C20" i="16"/>
  <c r="B22" i="15"/>
  <c r="C22" i="15" s="1"/>
  <c r="B23" i="15"/>
  <c r="B24" i="15"/>
  <c r="B16" i="15"/>
  <c r="B17" i="15"/>
  <c r="B18" i="15"/>
  <c r="C18" i="15" s="1"/>
  <c r="B19" i="15"/>
  <c r="C19" i="15" s="1"/>
  <c r="B20" i="15"/>
  <c r="C20" i="15"/>
  <c r="B16" i="13"/>
  <c r="B24" i="13"/>
  <c r="I24" i="13" s="1"/>
  <c r="B23" i="13"/>
  <c r="C23" i="13" s="1"/>
  <c r="B22" i="13"/>
  <c r="C22" i="13"/>
  <c r="B20" i="13"/>
  <c r="C20" i="13" s="1"/>
  <c r="B19" i="13"/>
  <c r="C19" i="13" s="1"/>
  <c r="C23" i="1"/>
  <c r="C17" i="15"/>
  <c r="F9" i="17"/>
  <c r="C4" i="1"/>
  <c r="C16" i="10"/>
  <c r="F17" i="1"/>
  <c r="C67" i="1"/>
  <c r="D67" i="1"/>
  <c r="D66" i="1"/>
  <c r="C66" i="1"/>
  <c r="C64" i="1"/>
  <c r="C55" i="1"/>
  <c r="A205" i="12"/>
  <c r="A207" i="12"/>
  <c r="C11" i="10"/>
  <c r="C51" i="16"/>
  <c r="C49" i="16"/>
  <c r="C50" i="16" s="1"/>
  <c r="C52" i="16" s="1"/>
  <c r="C51" i="13"/>
  <c r="C49" i="13"/>
  <c r="C50" i="13" s="1"/>
  <c r="C52" i="13" s="1"/>
  <c r="B13" i="12"/>
  <c r="C24" i="16"/>
  <c r="G56" i="1"/>
  <c r="G65" i="1" s="1"/>
  <c r="B28" i="13"/>
  <c r="C19" i="10"/>
  <c r="C5" i="10"/>
  <c r="A203" i="12"/>
  <c r="C3" i="10" s="1"/>
  <c r="A2" i="16"/>
  <c r="N2" i="16" s="1"/>
  <c r="A2" i="15"/>
  <c r="N2" i="15" s="1"/>
  <c r="C33" i="13"/>
  <c r="A2" i="13"/>
  <c r="N2" i="13" s="1"/>
  <c r="C33" i="16"/>
  <c r="A59" i="16" s="1"/>
  <c r="T29" i="16"/>
  <c r="S29" i="16"/>
  <c r="R29" i="16"/>
  <c r="Q29" i="16"/>
  <c r="P29" i="16"/>
  <c r="O29" i="16"/>
  <c r="T28" i="16"/>
  <c r="S28" i="16"/>
  <c r="R28" i="16"/>
  <c r="Q28" i="16"/>
  <c r="P28" i="16"/>
  <c r="O28" i="16"/>
  <c r="T27" i="16"/>
  <c r="S27" i="16"/>
  <c r="R27" i="16"/>
  <c r="Q27" i="16"/>
  <c r="P27" i="16"/>
  <c r="O27" i="16"/>
  <c r="T26" i="16"/>
  <c r="S26" i="16"/>
  <c r="R26" i="16"/>
  <c r="Q26" i="16"/>
  <c r="P26" i="16"/>
  <c r="O26" i="16"/>
  <c r="T25" i="16"/>
  <c r="S25" i="16"/>
  <c r="R25" i="16"/>
  <c r="Q25" i="16"/>
  <c r="P25" i="16"/>
  <c r="O25" i="16"/>
  <c r="R24" i="16"/>
  <c r="Q24" i="16"/>
  <c r="P24" i="16"/>
  <c r="O24" i="16"/>
  <c r="R23" i="16"/>
  <c r="Q23" i="16"/>
  <c r="P23" i="16"/>
  <c r="O23" i="16"/>
  <c r="R21" i="16"/>
  <c r="Q21" i="16"/>
  <c r="P21" i="16"/>
  <c r="O21" i="16"/>
  <c r="R18" i="16"/>
  <c r="Q18" i="16"/>
  <c r="P18" i="16"/>
  <c r="O18" i="16"/>
  <c r="R17" i="16"/>
  <c r="Q17" i="16"/>
  <c r="P17" i="16"/>
  <c r="O17" i="16"/>
  <c r="T15" i="16"/>
  <c r="R15" i="16"/>
  <c r="Q15" i="16"/>
  <c r="P15" i="16"/>
  <c r="T14" i="16"/>
  <c r="S14" i="16"/>
  <c r="R14" i="16"/>
  <c r="Q14" i="16"/>
  <c r="P14" i="16"/>
  <c r="O14" i="16"/>
  <c r="T13" i="16"/>
  <c r="S13" i="16"/>
  <c r="R13" i="16"/>
  <c r="Q13" i="16"/>
  <c r="P13" i="16"/>
  <c r="O13" i="16"/>
  <c r="T11" i="16"/>
  <c r="S11" i="16"/>
  <c r="R11" i="16"/>
  <c r="Q11" i="16"/>
  <c r="P11" i="16"/>
  <c r="O11" i="16"/>
  <c r="T10" i="16"/>
  <c r="S10" i="16"/>
  <c r="R10" i="16"/>
  <c r="Q10" i="16"/>
  <c r="P10" i="16"/>
  <c r="O10" i="16"/>
  <c r="N29" i="16"/>
  <c r="N28" i="16"/>
  <c r="N27" i="16"/>
  <c r="B27" i="16"/>
  <c r="C27" i="16" s="1"/>
  <c r="N26" i="16"/>
  <c r="B26" i="16"/>
  <c r="N25" i="16"/>
  <c r="B25" i="16"/>
  <c r="B21" i="16"/>
  <c r="F21" i="16" s="1"/>
  <c r="C21" i="16"/>
  <c r="N15" i="16"/>
  <c r="B15" i="16"/>
  <c r="N14" i="16"/>
  <c r="B14" i="16"/>
  <c r="N13" i="16"/>
  <c r="B13" i="16"/>
  <c r="C13" i="16"/>
  <c r="N11" i="16"/>
  <c r="B11" i="16"/>
  <c r="N10" i="16"/>
  <c r="L10" i="16"/>
  <c r="I10" i="16"/>
  <c r="F10" i="16"/>
  <c r="C10" i="16"/>
  <c r="N1" i="16"/>
  <c r="A1" i="16"/>
  <c r="N1" i="15"/>
  <c r="A1" i="15"/>
  <c r="C10" i="15"/>
  <c r="C33" i="15"/>
  <c r="A59" i="15" s="1"/>
  <c r="T29" i="15"/>
  <c r="S29" i="15"/>
  <c r="R29" i="15"/>
  <c r="Q29" i="15"/>
  <c r="P29" i="15"/>
  <c r="O29" i="15"/>
  <c r="T28" i="15"/>
  <c r="S28" i="15"/>
  <c r="R28" i="15"/>
  <c r="Q28" i="15"/>
  <c r="P28" i="15"/>
  <c r="O28" i="15"/>
  <c r="T27" i="15"/>
  <c r="S27" i="15"/>
  <c r="R27" i="15"/>
  <c r="Q27" i="15"/>
  <c r="P27" i="15"/>
  <c r="O27" i="15"/>
  <c r="T26" i="15"/>
  <c r="S26" i="15"/>
  <c r="R26" i="15"/>
  <c r="Q26" i="15"/>
  <c r="P26" i="15"/>
  <c r="O26" i="15"/>
  <c r="T25" i="15"/>
  <c r="S25" i="15"/>
  <c r="R25" i="15"/>
  <c r="Q25" i="15"/>
  <c r="P25" i="15"/>
  <c r="O25" i="15"/>
  <c r="R24" i="15"/>
  <c r="Q24" i="15"/>
  <c r="P24" i="15"/>
  <c r="O24" i="15"/>
  <c r="R23" i="15"/>
  <c r="Q23" i="15"/>
  <c r="P23" i="15"/>
  <c r="O23" i="15"/>
  <c r="R21" i="15"/>
  <c r="Q21" i="15"/>
  <c r="P21" i="15"/>
  <c r="O21" i="15"/>
  <c r="R18" i="15"/>
  <c r="Q18" i="15"/>
  <c r="P18" i="15"/>
  <c r="O18" i="15"/>
  <c r="R17" i="15"/>
  <c r="Q17" i="15"/>
  <c r="P17" i="15"/>
  <c r="O17" i="15"/>
  <c r="T15" i="15"/>
  <c r="R15" i="15"/>
  <c r="Q15" i="15"/>
  <c r="P15" i="15"/>
  <c r="O15" i="15"/>
  <c r="T14" i="15"/>
  <c r="S14" i="15"/>
  <c r="R14" i="15"/>
  <c r="Q14" i="15"/>
  <c r="P14" i="15"/>
  <c r="O14" i="15"/>
  <c r="T13" i="15"/>
  <c r="S13" i="15"/>
  <c r="R13" i="15"/>
  <c r="Q13" i="15"/>
  <c r="P13" i="15"/>
  <c r="O13" i="15"/>
  <c r="T11" i="15"/>
  <c r="S11" i="15"/>
  <c r="R11" i="15"/>
  <c r="Q11" i="15"/>
  <c r="P11" i="15"/>
  <c r="O11" i="15"/>
  <c r="T10" i="15"/>
  <c r="S10" i="15"/>
  <c r="R10" i="15"/>
  <c r="Q10" i="15"/>
  <c r="P10" i="15"/>
  <c r="O10" i="15"/>
  <c r="N29" i="15"/>
  <c r="N28" i="15"/>
  <c r="N27" i="15"/>
  <c r="B27" i="15"/>
  <c r="N26" i="15"/>
  <c r="B26" i="15"/>
  <c r="N25" i="15"/>
  <c r="B25" i="15"/>
  <c r="L25" i="15" s="1"/>
  <c r="B21" i="15"/>
  <c r="N15" i="15"/>
  <c r="B15" i="15"/>
  <c r="I15" i="15" s="1"/>
  <c r="N14" i="15"/>
  <c r="B14" i="15"/>
  <c r="C14" i="15" s="1"/>
  <c r="N13" i="15"/>
  <c r="B13" i="15"/>
  <c r="C13" i="15" s="1"/>
  <c r="N11" i="15"/>
  <c r="B11" i="15"/>
  <c r="C11" i="15" s="1"/>
  <c r="N10" i="15"/>
  <c r="L10" i="15"/>
  <c r="I10" i="15"/>
  <c r="F10" i="15"/>
  <c r="F56" i="1"/>
  <c r="F65" i="1" s="1"/>
  <c r="E56" i="1"/>
  <c r="E65" i="1"/>
  <c r="B25" i="13"/>
  <c r="I25" i="13" s="1"/>
  <c r="B26" i="13"/>
  <c r="I26" i="13" s="1"/>
  <c r="B27" i="13"/>
  <c r="B21" i="13"/>
  <c r="L21" i="13" s="1"/>
  <c r="B17" i="13"/>
  <c r="C17" i="13" s="1"/>
  <c r="B18" i="13"/>
  <c r="B14" i="13"/>
  <c r="B13" i="13"/>
  <c r="I13" i="13" s="1"/>
  <c r="C13" i="13"/>
  <c r="B11" i="13"/>
  <c r="C11" i="13" s="1"/>
  <c r="C28" i="16"/>
  <c r="B28" i="16" s="1"/>
  <c r="B28" i="15"/>
  <c r="C27" i="13"/>
  <c r="S13" i="13"/>
  <c r="R13" i="13"/>
  <c r="Q13" i="13"/>
  <c r="S11" i="13"/>
  <c r="Q11" i="13"/>
  <c r="P11" i="13"/>
  <c r="O11" i="13"/>
  <c r="B29" i="13"/>
  <c r="N29" i="13"/>
  <c r="N28" i="13"/>
  <c r="N27" i="13"/>
  <c r="N26" i="13"/>
  <c r="N25" i="13"/>
  <c r="T29" i="13"/>
  <c r="T28" i="13"/>
  <c r="T27" i="13"/>
  <c r="T26" i="13"/>
  <c r="T25" i="13"/>
  <c r="T15" i="13"/>
  <c r="T14" i="13"/>
  <c r="T13" i="13"/>
  <c r="N10" i="13"/>
  <c r="N11" i="13"/>
  <c r="N13" i="13"/>
  <c r="N14" i="13"/>
  <c r="N15" i="13"/>
  <c r="T11" i="13"/>
  <c r="T10" i="13"/>
  <c r="S10" i="13"/>
  <c r="R10" i="13"/>
  <c r="Q10" i="13"/>
  <c r="P10" i="13"/>
  <c r="O10" i="13"/>
  <c r="C10" i="13"/>
  <c r="N1" i="13"/>
  <c r="A1" i="13"/>
  <c r="AC68" i="12"/>
  <c r="AC67" i="12"/>
  <c r="AC66" i="12"/>
  <c r="AC65" i="12"/>
  <c r="AC64" i="12"/>
  <c r="AC63" i="12"/>
  <c r="AC62" i="12"/>
  <c r="AC61" i="12"/>
  <c r="AC60" i="12"/>
  <c r="AC59" i="12"/>
  <c r="AC58" i="12"/>
  <c r="AC57" i="12"/>
  <c r="AC56" i="12"/>
  <c r="AC55" i="12"/>
  <c r="AC54" i="12"/>
  <c r="AC53" i="12"/>
  <c r="AC52" i="12"/>
  <c r="AC51" i="12"/>
  <c r="AC50" i="12"/>
  <c r="AC49" i="12"/>
  <c r="AC48" i="12"/>
  <c r="AC46" i="12"/>
  <c r="AC45" i="12"/>
  <c r="AC44" i="12"/>
  <c r="AC43" i="12"/>
  <c r="C29" i="16"/>
  <c r="B29" i="16" s="1"/>
  <c r="B29" i="15"/>
  <c r="R11" i="13"/>
  <c r="A59" i="13"/>
  <c r="S14" i="13"/>
  <c r="R14" i="13"/>
  <c r="Q14" i="13"/>
  <c r="P13" i="13"/>
  <c r="O13" i="13"/>
  <c r="R15" i="13"/>
  <c r="Q15" i="13"/>
  <c r="P14" i="13"/>
  <c r="O14" i="13"/>
  <c r="R17" i="13"/>
  <c r="Q17" i="13"/>
  <c r="P15" i="13"/>
  <c r="O15" i="13"/>
  <c r="R18" i="13"/>
  <c r="Q18" i="13"/>
  <c r="P17" i="13"/>
  <c r="O17" i="13"/>
  <c r="R21" i="13"/>
  <c r="Q21" i="13"/>
  <c r="P18" i="13"/>
  <c r="O18" i="13"/>
  <c r="R23" i="13"/>
  <c r="Q23" i="13"/>
  <c r="P21" i="13"/>
  <c r="O21" i="13"/>
  <c r="R24" i="13"/>
  <c r="Q24" i="13"/>
  <c r="P23" i="13"/>
  <c r="O23" i="13"/>
  <c r="S25" i="13"/>
  <c r="R25" i="13"/>
  <c r="Q25" i="13"/>
  <c r="P24" i="13"/>
  <c r="O24" i="13"/>
  <c r="S26" i="13"/>
  <c r="R26" i="13"/>
  <c r="Q26" i="13"/>
  <c r="P25" i="13"/>
  <c r="O25" i="13"/>
  <c r="S27" i="13"/>
  <c r="R27" i="13"/>
  <c r="Q27" i="13"/>
  <c r="P26" i="13"/>
  <c r="O26" i="13"/>
  <c r="S28" i="13"/>
  <c r="S29" i="13"/>
  <c r="R29" i="13"/>
  <c r="R28" i="13"/>
  <c r="Q28" i="13"/>
  <c r="Q29" i="13"/>
  <c r="P27" i="13"/>
  <c r="O27" i="13"/>
  <c r="P28" i="13"/>
  <c r="P29" i="13"/>
  <c r="O29" i="13"/>
  <c r="O28" i="13"/>
  <c r="C59" i="1"/>
  <c r="J10" i="1"/>
  <c r="J9" i="1"/>
  <c r="J8" i="1"/>
  <c r="D60" i="1"/>
  <c r="D59" i="1"/>
  <c r="D58" i="1"/>
  <c r="D57" i="1"/>
  <c r="C60" i="1"/>
  <c r="C58" i="1"/>
  <c r="C57" i="1"/>
  <c r="J5" i="1"/>
  <c r="J7" i="1"/>
  <c r="J6" i="1"/>
  <c r="E72" i="16" s="1"/>
  <c r="E10" i="16" s="1"/>
  <c r="V10" i="16" s="1"/>
  <c r="C37" i="1"/>
  <c r="C46" i="1"/>
  <c r="C42" i="1"/>
  <c r="C44" i="13"/>
  <c r="I10" i="13"/>
  <c r="F27" i="13"/>
  <c r="F10" i="13"/>
  <c r="L27" i="15"/>
  <c r="I27" i="13"/>
  <c r="L10" i="13"/>
  <c r="L27" i="13"/>
  <c r="G62" i="1"/>
  <c r="G60" i="1"/>
  <c r="F23" i="13"/>
  <c r="C26" i="16"/>
  <c r="C23" i="15"/>
  <c r="C18" i="13"/>
  <c r="C24" i="13"/>
  <c r="C12" i="13"/>
  <c r="C11" i="16"/>
  <c r="F22" i="13"/>
  <c r="F13" i="13"/>
  <c r="F15" i="13"/>
  <c r="F11" i="13"/>
  <c r="F19" i="13"/>
  <c r="F17" i="13"/>
  <c r="I12" i="13"/>
  <c r="F14" i="13"/>
  <c r="F20" i="15"/>
  <c r="F22" i="15"/>
  <c r="F12" i="15"/>
  <c r="F13" i="15"/>
  <c r="F23" i="15"/>
  <c r="F26" i="15"/>
  <c r="F16" i="15"/>
  <c r="F19" i="15"/>
  <c r="F17" i="15"/>
  <c r="F14" i="15"/>
  <c r="F18" i="15"/>
  <c r="F11" i="15"/>
  <c r="F17" i="16"/>
  <c r="F26" i="16"/>
  <c r="F12" i="16"/>
  <c r="F18" i="16"/>
  <c r="F14" i="16"/>
  <c r="F24" i="16"/>
  <c r="F20" i="16"/>
  <c r="F13" i="16"/>
  <c r="F19" i="16"/>
  <c r="F12" i="13"/>
  <c r="L24" i="13"/>
  <c r="I19" i="13"/>
  <c r="I22" i="16"/>
  <c r="I19" i="16"/>
  <c r="I21" i="13"/>
  <c r="F26" i="13"/>
  <c r="I23" i="13"/>
  <c r="I16" i="16"/>
  <c r="I13" i="16"/>
  <c r="I11" i="16"/>
  <c r="F11" i="16"/>
  <c r="L25" i="13"/>
  <c r="I20" i="13"/>
  <c r="I22" i="13"/>
  <c r="I14" i="13"/>
  <c r="L19" i="13"/>
  <c r="I11" i="13"/>
  <c r="I17" i="13"/>
  <c r="I25" i="16"/>
  <c r="I21" i="16"/>
  <c r="I26" i="16"/>
  <c r="L26" i="16"/>
  <c r="L26" i="13"/>
  <c r="L25" i="16"/>
  <c r="L23" i="13"/>
  <c r="I23" i="15"/>
  <c r="I21" i="15"/>
  <c r="L16" i="16"/>
  <c r="I18" i="16"/>
  <c r="I18" i="15"/>
  <c r="I20" i="16"/>
  <c r="I20" i="15"/>
  <c r="L20" i="13"/>
  <c r="I19" i="15"/>
  <c r="I24" i="16"/>
  <c r="L22" i="13"/>
  <c r="I22" i="15"/>
  <c r="I17" i="16"/>
  <c r="I17" i="15"/>
  <c r="L17" i="13"/>
  <c r="L14" i="13"/>
  <c r="I14" i="15"/>
  <c r="L13" i="15"/>
  <c r="I13" i="15"/>
  <c r="L12" i="13"/>
  <c r="I12" i="15"/>
  <c r="I12" i="16"/>
  <c r="L12" i="16"/>
  <c r="L11" i="16"/>
  <c r="L11" i="13"/>
  <c r="I11" i="15"/>
  <c r="L23" i="15"/>
  <c r="L21" i="15"/>
  <c r="L18" i="15"/>
  <c r="L20" i="15"/>
  <c r="L20" i="16"/>
  <c r="L19" i="15"/>
  <c r="L24" i="16"/>
  <c r="L22" i="15"/>
  <c r="L17" i="16"/>
  <c r="L17" i="15"/>
  <c r="L13" i="16"/>
  <c r="L14" i="15"/>
  <c r="L12" i="15"/>
  <c r="L11" i="15"/>
  <c r="H72" i="15" l="1"/>
  <c r="B72" i="15"/>
  <c r="A6" i="15" s="1"/>
  <c r="O4" i="15" s="1"/>
  <c r="K72" i="13"/>
  <c r="H72" i="13"/>
  <c r="G68" i="1"/>
  <c r="G67" i="1"/>
  <c r="G69" i="1"/>
  <c r="L28" i="16"/>
  <c r="F28" i="16"/>
  <c r="L13" i="13"/>
  <c r="I25" i="15"/>
  <c r="L22" i="16"/>
  <c r="L15" i="13"/>
  <c r="I15" i="13"/>
  <c r="E72" i="13"/>
  <c r="E16" i="13" s="1"/>
  <c r="V16" i="13" s="1"/>
  <c r="E71" i="15"/>
  <c r="G57" i="1"/>
  <c r="C26" i="13"/>
  <c r="E23" i="16"/>
  <c r="V23" i="16" s="1"/>
  <c r="L21" i="16"/>
  <c r="E71" i="13"/>
  <c r="C21" i="13"/>
  <c r="E18" i="16"/>
  <c r="H72" i="16"/>
  <c r="B72" i="13"/>
  <c r="A6" i="13" s="1"/>
  <c r="O4" i="13" s="1"/>
  <c r="G61" i="1"/>
  <c r="F16" i="16"/>
  <c r="F25" i="15"/>
  <c r="F21" i="13"/>
  <c r="K72" i="15"/>
  <c r="E71" i="16"/>
  <c r="B72" i="16"/>
  <c r="A6" i="16" s="1"/>
  <c r="O4" i="16" s="1"/>
  <c r="G59" i="1"/>
  <c r="E16" i="16"/>
  <c r="V16" i="16" s="1"/>
  <c r="F24" i="13"/>
  <c r="E72" i="15"/>
  <c r="E16" i="15" s="1"/>
  <c r="V16" i="15" s="1"/>
  <c r="K72" i="16"/>
  <c r="C25" i="13"/>
  <c r="G58" i="1"/>
  <c r="C25" i="15"/>
  <c r="F25" i="13"/>
  <c r="AA40" i="12"/>
  <c r="I16" i="13"/>
  <c r="C16" i="13"/>
  <c r="L16" i="13"/>
  <c r="F16" i="13"/>
  <c r="L24" i="15"/>
  <c r="C24" i="15"/>
  <c r="I24" i="15"/>
  <c r="F24" i="15"/>
  <c r="F67" i="1"/>
  <c r="I15" i="16"/>
  <c r="C15" i="16"/>
  <c r="E15" i="16"/>
  <c r="V15" i="16" s="1"/>
  <c r="L27" i="16"/>
  <c r="I27" i="16"/>
  <c r="F27" i="16"/>
  <c r="L15" i="16"/>
  <c r="L29" i="16"/>
  <c r="I29" i="16"/>
  <c r="F29" i="16"/>
  <c r="E29" i="16"/>
  <c r="V29" i="16" s="1"/>
  <c r="I23" i="16"/>
  <c r="C23" i="16"/>
  <c r="F23" i="16"/>
  <c r="L23" i="16"/>
  <c r="F15" i="16"/>
  <c r="C53" i="13"/>
  <c r="E67" i="1"/>
  <c r="I16" i="15"/>
  <c r="C16" i="15"/>
  <c r="L16" i="15"/>
  <c r="L26" i="15"/>
  <c r="C26" i="15"/>
  <c r="I26" i="15"/>
  <c r="V18" i="16"/>
  <c r="O31" i="16"/>
  <c r="H16" i="16"/>
  <c r="Y16" i="16" s="1"/>
  <c r="H10" i="16"/>
  <c r="H18" i="16"/>
  <c r="Y18" i="16" s="1"/>
  <c r="E14" i="16"/>
  <c r="H14" i="16" s="1"/>
  <c r="Y14" i="16" s="1"/>
  <c r="E20" i="16"/>
  <c r="E19" i="16"/>
  <c r="E17" i="16"/>
  <c r="E25" i="16"/>
  <c r="H25" i="16" s="1"/>
  <c r="Y25" i="16" s="1"/>
  <c r="E24" i="16"/>
  <c r="H24" i="16" s="1"/>
  <c r="Y24" i="16" s="1"/>
  <c r="E21" i="16"/>
  <c r="H21" i="16" s="1"/>
  <c r="Y21" i="16" s="1"/>
  <c r="E28" i="16"/>
  <c r="E26" i="16"/>
  <c r="E11" i="16"/>
  <c r="E27" i="16"/>
  <c r="V27" i="16" s="1"/>
  <c r="E57" i="1"/>
  <c r="E22" i="16"/>
  <c r="C14" i="13"/>
  <c r="F15" i="15"/>
  <c r="C15" i="15"/>
  <c r="L15" i="15"/>
  <c r="C27" i="15"/>
  <c r="F27" i="15"/>
  <c r="E13" i="16"/>
  <c r="E12" i="16"/>
  <c r="H12" i="16" s="1"/>
  <c r="Y12" i="16" s="1"/>
  <c r="I27" i="15"/>
  <c r="F28" i="15"/>
  <c r="F18" i="13"/>
  <c r="L18" i="13"/>
  <c r="I18" i="13"/>
  <c r="C25" i="16"/>
  <c r="F25" i="16"/>
  <c r="F20" i="13"/>
  <c r="F21" i="15"/>
  <c r="C21" i="15"/>
  <c r="E22" i="13"/>
  <c r="E29" i="13"/>
  <c r="F29" i="13" s="1"/>
  <c r="E12" i="13"/>
  <c r="E24" i="13"/>
  <c r="E15" i="13"/>
  <c r="E23" i="13"/>
  <c r="E18" i="13"/>
  <c r="V18" i="13" s="1"/>
  <c r="I28" i="16"/>
  <c r="AA39" i="12"/>
  <c r="I14" i="16"/>
  <c r="L14" i="16"/>
  <c r="C14" i="16"/>
  <c r="L19" i="16"/>
  <c r="C19" i="16"/>
  <c r="F57" i="1"/>
  <c r="H18" i="13" l="1"/>
  <c r="Y18" i="13" s="1"/>
  <c r="H11" i="16"/>
  <c r="Y11" i="16" s="1"/>
  <c r="E15" i="15"/>
  <c r="V15" i="15" s="1"/>
  <c r="H29" i="16"/>
  <c r="Y29" i="16" s="1"/>
  <c r="E25" i="15"/>
  <c r="V25" i="15" s="1"/>
  <c r="E22" i="15"/>
  <c r="H22" i="15" s="1"/>
  <c r="H23" i="16"/>
  <c r="Y23" i="16" s="1"/>
  <c r="C53" i="15"/>
  <c r="E24" i="15"/>
  <c r="E28" i="15"/>
  <c r="H27" i="15"/>
  <c r="Y27" i="15" s="1"/>
  <c r="E27" i="15"/>
  <c r="E23" i="15"/>
  <c r="H23" i="15" s="1"/>
  <c r="Y23" i="15" s="1"/>
  <c r="E17" i="15"/>
  <c r="E14" i="15"/>
  <c r="H14" i="15" s="1"/>
  <c r="Y14" i="15" s="1"/>
  <c r="G66" i="1"/>
  <c r="C40" i="16"/>
  <c r="C47" i="16" s="1"/>
  <c r="C54" i="16" s="1"/>
  <c r="E12" i="15"/>
  <c r="E21" i="15"/>
  <c r="V21" i="15" s="1"/>
  <c r="O33" i="16"/>
  <c r="P33" i="16" s="1"/>
  <c r="O32" i="16"/>
  <c r="P32" i="16" s="1"/>
  <c r="C53" i="16"/>
  <c r="E25" i="13"/>
  <c r="E26" i="13"/>
  <c r="E19" i="13"/>
  <c r="E21" i="13"/>
  <c r="E20" i="13"/>
  <c r="E17" i="13"/>
  <c r="E13" i="13"/>
  <c r="E14" i="13"/>
  <c r="E11" i="13"/>
  <c r="E27" i="13"/>
  <c r="E10" i="13"/>
  <c r="O33" i="15"/>
  <c r="O31" i="15"/>
  <c r="P33" i="15"/>
  <c r="E20" i="15"/>
  <c r="H20" i="15" s="1"/>
  <c r="Y20" i="15" s="1"/>
  <c r="E11" i="15"/>
  <c r="V11" i="15" s="1"/>
  <c r="K23" i="16"/>
  <c r="AB23" i="16" s="1"/>
  <c r="E18" i="15"/>
  <c r="H18" i="15" s="1"/>
  <c r="Y18" i="15" s="1"/>
  <c r="E26" i="15"/>
  <c r="E10" i="15"/>
  <c r="H10" i="15" s="1"/>
  <c r="Y10" i="15" s="1"/>
  <c r="E19" i="15"/>
  <c r="H19" i="15" s="1"/>
  <c r="Y19" i="15" s="1"/>
  <c r="O32" i="15"/>
  <c r="P32" i="15" s="1"/>
  <c r="E29" i="15"/>
  <c r="F29" i="15" s="1"/>
  <c r="E13" i="15"/>
  <c r="E28" i="13"/>
  <c r="F28" i="13" s="1"/>
  <c r="F31" i="13" s="1"/>
  <c r="O33" i="13"/>
  <c r="P33" i="13" s="1"/>
  <c r="H13" i="13"/>
  <c r="Y13" i="13" s="1"/>
  <c r="O31" i="13"/>
  <c r="O32" i="13"/>
  <c r="P32" i="13" s="1"/>
  <c r="V28" i="15"/>
  <c r="I28" i="13"/>
  <c r="C31" i="13"/>
  <c r="C31" i="15"/>
  <c r="V19" i="16"/>
  <c r="H19" i="16"/>
  <c r="Y19" i="16" s="1"/>
  <c r="V22" i="16"/>
  <c r="V12" i="15"/>
  <c r="H12" i="15"/>
  <c r="Y12" i="15" s="1"/>
  <c r="F31" i="15"/>
  <c r="K18" i="16"/>
  <c r="AB18" i="16" s="1"/>
  <c r="H11" i="15"/>
  <c r="Y11" i="15" s="1"/>
  <c r="H16" i="13"/>
  <c r="A44" i="16"/>
  <c r="A44" i="13"/>
  <c r="A44" i="15"/>
  <c r="F8" i="17"/>
  <c r="F10" i="17" s="1"/>
  <c r="C40" i="15"/>
  <c r="C47" i="15" s="1"/>
  <c r="C54" i="15" s="1"/>
  <c r="F66" i="1"/>
  <c r="F68" i="1" s="1"/>
  <c r="F69" i="1" s="1"/>
  <c r="I31" i="16"/>
  <c r="V26" i="16"/>
  <c r="V28" i="16"/>
  <c r="V23" i="13"/>
  <c r="H23" i="13"/>
  <c r="Y23" i="13" s="1"/>
  <c r="V21" i="16"/>
  <c r="K21" i="16"/>
  <c r="AB21" i="16" s="1"/>
  <c r="H22" i="16"/>
  <c r="Y22" i="16" s="1"/>
  <c r="H16" i="15"/>
  <c r="H28" i="15"/>
  <c r="I28" i="15" s="1"/>
  <c r="V13" i="15"/>
  <c r="H13" i="15"/>
  <c r="Y13" i="15" s="1"/>
  <c r="A37" i="16"/>
  <c r="A37" i="15"/>
  <c r="A37" i="13"/>
  <c r="V20" i="16"/>
  <c r="K16" i="16"/>
  <c r="AB16" i="16" s="1"/>
  <c r="V14" i="16"/>
  <c r="K14" i="16"/>
  <c r="AB14" i="16" s="1"/>
  <c r="K24" i="16"/>
  <c r="AB24" i="16" s="1"/>
  <c r="V24" i="16"/>
  <c r="V22" i="15"/>
  <c r="V17" i="15"/>
  <c r="V22" i="13"/>
  <c r="H22" i="13"/>
  <c r="Y22" i="13" s="1"/>
  <c r="K18" i="13"/>
  <c r="AB18" i="13" s="1"/>
  <c r="V11" i="16"/>
  <c r="H15" i="13"/>
  <c r="Y15" i="13" s="1"/>
  <c r="K15" i="13"/>
  <c r="AB15" i="13" s="1"/>
  <c r="V15" i="13"/>
  <c r="F31" i="16"/>
  <c r="H24" i="13"/>
  <c r="Y24" i="13" s="1"/>
  <c r="V24" i="13"/>
  <c r="V12" i="16"/>
  <c r="K12" i="16"/>
  <c r="AB12" i="16" s="1"/>
  <c r="H29" i="13"/>
  <c r="C40" i="13"/>
  <c r="C47" i="13" s="1"/>
  <c r="C54" i="13" s="1"/>
  <c r="D8" i="17"/>
  <c r="D10" i="17" s="1"/>
  <c r="E66" i="1"/>
  <c r="E68" i="1" s="1"/>
  <c r="E69" i="1" s="1"/>
  <c r="K25" i="16"/>
  <c r="AB25" i="16" s="1"/>
  <c r="V25" i="16"/>
  <c r="H15" i="16"/>
  <c r="Y15" i="16" s="1"/>
  <c r="H28" i="16"/>
  <c r="Y28" i="16" s="1"/>
  <c r="V20" i="15"/>
  <c r="K20" i="15"/>
  <c r="AB20" i="15" s="1"/>
  <c r="V14" i="15"/>
  <c r="H27" i="16"/>
  <c r="Y27" i="16" s="1"/>
  <c r="H26" i="16"/>
  <c r="Y26" i="16" s="1"/>
  <c r="Y10" i="16"/>
  <c r="K10" i="16"/>
  <c r="AB10" i="16" s="1"/>
  <c r="H17" i="15"/>
  <c r="Y17" i="15" s="1"/>
  <c r="V12" i="13"/>
  <c r="H12" i="13"/>
  <c r="Y12" i="13" s="1"/>
  <c r="K12" i="13"/>
  <c r="AB12" i="13" s="1"/>
  <c r="V13" i="16"/>
  <c r="H13" i="16"/>
  <c r="Y13" i="16" s="1"/>
  <c r="C31" i="16"/>
  <c r="V17" i="16"/>
  <c r="H17" i="16"/>
  <c r="Y17" i="16" s="1"/>
  <c r="H20" i="16"/>
  <c r="Y20" i="16" s="1"/>
  <c r="H25" i="15"/>
  <c r="Y25" i="15" s="1"/>
  <c r="V23" i="15"/>
  <c r="K29" i="16"/>
  <c r="AB29" i="16" s="1"/>
  <c r="K15" i="16"/>
  <c r="AB15" i="16" s="1"/>
  <c r="L31" i="16"/>
  <c r="Y22" i="15" l="1"/>
  <c r="K22" i="15"/>
  <c r="AB22" i="15" s="1"/>
  <c r="K11" i="16"/>
  <c r="AB11" i="16" s="1"/>
  <c r="H29" i="15"/>
  <c r="K14" i="15"/>
  <c r="AB14" i="15" s="1"/>
  <c r="K17" i="15"/>
  <c r="AB17" i="15" s="1"/>
  <c r="H15" i="15"/>
  <c r="Y15" i="15" s="1"/>
  <c r="K26" i="16"/>
  <c r="AB26" i="16" s="1"/>
  <c r="K12" i="15"/>
  <c r="AB12" i="15" s="1"/>
  <c r="V28" i="13"/>
  <c r="H28" i="13"/>
  <c r="Y28" i="13" s="1"/>
  <c r="H21" i="15"/>
  <c r="Y21" i="15" s="1"/>
  <c r="K19" i="16"/>
  <c r="AB19" i="16" s="1"/>
  <c r="W10" i="16"/>
  <c r="X10" i="16" s="1"/>
  <c r="W11" i="16" s="1"/>
  <c r="V19" i="15"/>
  <c r="V26" i="15"/>
  <c r="H26" i="15"/>
  <c r="Y26" i="15" s="1"/>
  <c r="V10" i="13"/>
  <c r="W10" i="13" s="1"/>
  <c r="X10" i="13" s="1"/>
  <c r="H10" i="13"/>
  <c r="H19" i="13"/>
  <c r="V19" i="13"/>
  <c r="V27" i="15"/>
  <c r="K27" i="15"/>
  <c r="AB27" i="15" s="1"/>
  <c r="K22" i="16"/>
  <c r="AB22" i="16" s="1"/>
  <c r="V21" i="13"/>
  <c r="H21" i="13"/>
  <c r="Y21" i="13" s="1"/>
  <c r="K23" i="15"/>
  <c r="AB23" i="15" s="1"/>
  <c r="K19" i="15"/>
  <c r="AB19" i="15" s="1"/>
  <c r="V10" i="15"/>
  <c r="W10" i="15" s="1"/>
  <c r="X10" i="15" s="1"/>
  <c r="W11" i="15" s="1"/>
  <c r="K18" i="15"/>
  <c r="AB18" i="15" s="1"/>
  <c r="V18" i="15"/>
  <c r="V27" i="13"/>
  <c r="H27" i="13"/>
  <c r="K26" i="13"/>
  <c r="AB26" i="13" s="1"/>
  <c r="V26" i="13"/>
  <c r="V17" i="13"/>
  <c r="V20" i="13"/>
  <c r="H20" i="13"/>
  <c r="Y20" i="13" s="1"/>
  <c r="K13" i="15"/>
  <c r="AB13" i="15" s="1"/>
  <c r="K10" i="15"/>
  <c r="AB10" i="15" s="1"/>
  <c r="V11" i="13"/>
  <c r="H11" i="13"/>
  <c r="V25" i="13"/>
  <c r="H25" i="13"/>
  <c r="H17" i="13"/>
  <c r="Y17" i="13" s="1"/>
  <c r="V14" i="13"/>
  <c r="H14" i="13"/>
  <c r="Y14" i="13" s="1"/>
  <c r="K22" i="13"/>
  <c r="AB22" i="13" s="1"/>
  <c r="H26" i="13"/>
  <c r="Y26" i="13" s="1"/>
  <c r="V13" i="13"/>
  <c r="K13" i="13"/>
  <c r="AB13" i="13" s="1"/>
  <c r="V24" i="15"/>
  <c r="H24" i="15"/>
  <c r="Y29" i="15"/>
  <c r="I29" i="15"/>
  <c r="I31" i="15" s="1"/>
  <c r="K29" i="15"/>
  <c r="Y29" i="13"/>
  <c r="I29" i="13"/>
  <c r="I31" i="13" s="1"/>
  <c r="L28" i="13"/>
  <c r="H13" i="17"/>
  <c r="H15" i="17" s="1"/>
  <c r="K27" i="16"/>
  <c r="AB27" i="16" s="1"/>
  <c r="Y16" i="13"/>
  <c r="K16" i="13"/>
  <c r="AB16" i="13" s="1"/>
  <c r="K13" i="16"/>
  <c r="AB13" i="16" s="1"/>
  <c r="K20" i="16"/>
  <c r="AB20" i="16" s="1"/>
  <c r="K23" i="13"/>
  <c r="AB23" i="13" s="1"/>
  <c r="K17" i="16"/>
  <c r="AB17" i="16" s="1"/>
  <c r="Y28" i="15"/>
  <c r="K28" i="15"/>
  <c r="K24" i="13"/>
  <c r="AB24" i="13" s="1"/>
  <c r="V33" i="16"/>
  <c r="V31" i="16"/>
  <c r="K25" i="15"/>
  <c r="AB25" i="15" s="1"/>
  <c r="Y16" i="15"/>
  <c r="K16" i="15"/>
  <c r="AB16" i="15" s="1"/>
  <c r="K28" i="16"/>
  <c r="AB28" i="16" s="1"/>
  <c r="K29" i="13"/>
  <c r="K11" i="15"/>
  <c r="AB11" i="15" s="1"/>
  <c r="Y33" i="16"/>
  <c r="Y31" i="16"/>
  <c r="K15" i="15"/>
  <c r="AB15" i="15" s="1"/>
  <c r="K21" i="15" l="1"/>
  <c r="AB21" i="15" s="1"/>
  <c r="K20" i="13"/>
  <c r="AB20" i="13" s="1"/>
  <c r="K28" i="13"/>
  <c r="AB28" i="13" s="1"/>
  <c r="W11" i="13"/>
  <c r="X11" i="13" s="1"/>
  <c r="W12" i="13" s="1"/>
  <c r="Y24" i="15"/>
  <c r="Y33" i="15" s="1"/>
  <c r="K24" i="15"/>
  <c r="AB24" i="15" s="1"/>
  <c r="K26" i="15"/>
  <c r="AB26" i="15" s="1"/>
  <c r="K21" i="13"/>
  <c r="AB21" i="13" s="1"/>
  <c r="Y10" i="13"/>
  <c r="K10" i="13"/>
  <c r="AB10" i="13" s="1"/>
  <c r="Y27" i="13"/>
  <c r="K27" i="13"/>
  <c r="AB27" i="13" s="1"/>
  <c r="Y19" i="13"/>
  <c r="K19" i="13"/>
  <c r="AB19" i="13" s="1"/>
  <c r="K14" i="13"/>
  <c r="AB14" i="13" s="1"/>
  <c r="Y25" i="13"/>
  <c r="K25" i="13"/>
  <c r="AB25" i="13" s="1"/>
  <c r="Y11" i="13"/>
  <c r="K11" i="13"/>
  <c r="AB11" i="13" s="1"/>
  <c r="K17" i="13"/>
  <c r="AB17" i="13" s="1"/>
  <c r="AB29" i="15"/>
  <c r="L29" i="15"/>
  <c r="AB28" i="15"/>
  <c r="L28" i="15"/>
  <c r="AB29" i="13"/>
  <c r="L29" i="13"/>
  <c r="L31" i="13" s="1"/>
  <c r="AB33" i="16"/>
  <c r="X11" i="16"/>
  <c r="W12" i="16" s="1"/>
  <c r="X11" i="15"/>
  <c r="W12" i="15" s="1"/>
  <c r="AB31" i="16"/>
  <c r="Y38" i="16" s="1"/>
  <c r="Y33" i="13" l="1"/>
  <c r="Y31" i="15"/>
  <c r="AB33" i="15"/>
  <c r="Y31" i="13"/>
  <c r="AB31" i="13"/>
  <c r="L31" i="15"/>
  <c r="AB31" i="15"/>
  <c r="AB33" i="13"/>
  <c r="C34" i="16"/>
  <c r="X12" i="16"/>
  <c r="X12" i="15"/>
  <c r="W13" i="15" s="1"/>
  <c r="X12" i="13"/>
  <c r="W13" i="13" s="1"/>
  <c r="X13" i="13" l="1"/>
  <c r="W14" i="13" s="1"/>
  <c r="X13" i="15"/>
  <c r="W14" i="15" s="1"/>
  <c r="W13" i="16"/>
  <c r="X14" i="13" l="1"/>
  <c r="W15" i="13" s="1"/>
  <c r="X13" i="16"/>
  <c r="X14" i="15"/>
  <c r="W15" i="15" s="1"/>
  <c r="X15" i="15" l="1"/>
  <c r="W16" i="15" s="1"/>
  <c r="X15" i="13"/>
  <c r="W14" i="16"/>
  <c r="X16" i="15" l="1"/>
  <c r="W17" i="15" s="1"/>
  <c r="X14" i="16"/>
  <c r="W15" i="16" s="1"/>
  <c r="W16" i="13"/>
  <c r="X15" i="16" l="1"/>
  <c r="X17" i="15"/>
  <c r="X16" i="13"/>
  <c r="W18" i="15" l="1"/>
  <c r="W17" i="13"/>
  <c r="W16" i="16"/>
  <c r="X18" i="15" l="1"/>
  <c r="W19" i="15" s="1"/>
  <c r="X17" i="13"/>
  <c r="W18" i="13" s="1"/>
  <c r="X16" i="16"/>
  <c r="X18" i="13" l="1"/>
  <c r="W19" i="13" s="1"/>
  <c r="W17" i="16"/>
  <c r="X19" i="15"/>
  <c r="W20" i="15" s="1"/>
  <c r="X20" i="15" l="1"/>
  <c r="X19" i="13"/>
  <c r="X17" i="16"/>
  <c r="W18" i="16" s="1"/>
  <c r="X18" i="16" l="1"/>
  <c r="W20" i="13"/>
  <c r="W21" i="15"/>
  <c r="W19" i="16" l="1"/>
  <c r="X20" i="13"/>
  <c r="X21" i="15"/>
  <c r="W22" i="15" s="1"/>
  <c r="X22" i="15" l="1"/>
  <c r="W21" i="13"/>
  <c r="X19" i="16"/>
  <c r="W20" i="16" s="1"/>
  <c r="X20" i="16" l="1"/>
  <c r="W23" i="15"/>
  <c r="X21" i="13"/>
  <c r="W22" i="13" l="1"/>
  <c r="X23" i="15"/>
  <c r="W21" i="16"/>
  <c r="W24" i="15" l="1"/>
  <c r="X22" i="13"/>
  <c r="X21" i="16"/>
  <c r="W22" i="16" l="1"/>
  <c r="W23" i="13"/>
  <c r="X24" i="15"/>
  <c r="W25" i="15" s="1"/>
  <c r="X25" i="15" l="1"/>
  <c r="X22" i="16"/>
  <c r="X23" i="13"/>
  <c r="W24" i="13" l="1"/>
  <c r="W23" i="16"/>
  <c r="W26" i="15"/>
  <c r="X24" i="13" l="1"/>
  <c r="W25" i="13" s="1"/>
  <c r="X26" i="15"/>
  <c r="X23" i="16"/>
  <c r="X25" i="13" l="1"/>
  <c r="W26" i="13" s="1"/>
  <c r="W24" i="16"/>
  <c r="W27" i="15"/>
  <c r="X26" i="13" l="1"/>
  <c r="W27" i="13" s="1"/>
  <c r="X27" i="15"/>
  <c r="X24" i="16"/>
  <c r="W25" i="16" s="1"/>
  <c r="X27" i="13" l="1"/>
  <c r="W28" i="13" s="1"/>
  <c r="X25" i="16"/>
  <c r="W28" i="15"/>
  <c r="X28" i="13" l="1"/>
  <c r="V29" i="13" s="1"/>
  <c r="X28" i="15"/>
  <c r="V29" i="15" s="1"/>
  <c r="W26" i="16"/>
  <c r="V33" i="15" l="1"/>
  <c r="V31" i="15"/>
  <c r="Y38" i="15" s="1"/>
  <c r="C34" i="15" s="1"/>
  <c r="F58" i="1" s="1"/>
  <c r="V31" i="13"/>
  <c r="Y38" i="13" s="1"/>
  <c r="C34" i="13" s="1"/>
  <c r="E58" i="1" s="1"/>
  <c r="V33" i="13"/>
  <c r="W29" i="15"/>
  <c r="W29" i="13"/>
  <c r="X26" i="16"/>
  <c r="W27" i="16" s="1"/>
  <c r="X27" i="16" l="1"/>
  <c r="W28" i="16" s="1"/>
  <c r="X29" i="15"/>
  <c r="X31" i="15" s="1"/>
  <c r="W31" i="15"/>
  <c r="X29" i="13"/>
  <c r="X31" i="13" s="1"/>
  <c r="W31" i="13"/>
  <c r="X28" i="16" l="1"/>
  <c r="W29" i="16" s="1"/>
  <c r="X33" i="13"/>
  <c r="W33" i="15"/>
  <c r="W35" i="15" s="1"/>
  <c r="X33" i="15"/>
  <c r="W33" i="13"/>
  <c r="W35" i="13" s="1"/>
  <c r="X29" i="16" l="1"/>
  <c r="X31" i="16" s="1"/>
  <c r="W31" i="16"/>
  <c r="Z10" i="15"/>
  <c r="Z10" i="13"/>
  <c r="AA10" i="13" l="1"/>
  <c r="Z11" i="13" s="1"/>
  <c r="AA10" i="15"/>
  <c r="Z11" i="15" s="1"/>
  <c r="W33" i="16"/>
  <c r="W35" i="16" s="1"/>
  <c r="X33" i="16"/>
  <c r="AA11" i="15" l="1"/>
  <c r="Z12" i="15" s="1"/>
  <c r="AA11" i="13"/>
  <c r="Z10" i="16"/>
  <c r="Z12" i="13" l="1"/>
  <c r="AA10" i="16"/>
  <c r="Z11" i="16" s="1"/>
  <c r="AA11" i="16" s="1"/>
  <c r="AA12" i="15"/>
  <c r="Z13" i="15" s="1"/>
  <c r="AA12" i="13" l="1"/>
  <c r="Z13" i="13" s="1"/>
  <c r="AA13" i="15"/>
  <c r="Z14" i="15" s="1"/>
  <c r="AA14" i="15" s="1"/>
  <c r="Z12" i="16"/>
  <c r="Z15" i="15" l="1"/>
  <c r="AA13" i="13"/>
  <c r="Z14" i="13" s="1"/>
  <c r="AA12" i="16"/>
  <c r="Z13" i="16" l="1"/>
  <c r="AA14" i="13"/>
  <c r="Z15" i="13" s="1"/>
  <c r="AA15" i="15"/>
  <c r="Z16" i="15" s="1"/>
  <c r="AA16" i="15" l="1"/>
  <c r="Z17" i="15" s="1"/>
  <c r="AA13" i="16"/>
  <c r="Z14" i="16" s="1"/>
  <c r="AA15" i="13"/>
  <c r="Z16" i="13" s="1"/>
  <c r="AA14" i="16" l="1"/>
  <c r="Z15" i="16" s="1"/>
  <c r="AA17" i="15"/>
  <c r="Z18" i="15" s="1"/>
  <c r="AA16" i="13"/>
  <c r="Z17" i="13" s="1"/>
  <c r="AA18" i="15" l="1"/>
  <c r="Z19" i="15" s="1"/>
  <c r="AA15" i="16"/>
  <c r="Z16" i="16" s="1"/>
  <c r="AA17" i="13"/>
  <c r="Z18" i="13" s="1"/>
  <c r="AA18" i="13" l="1"/>
  <c r="Z19" i="13" s="1"/>
  <c r="AA16" i="16"/>
  <c r="AA19" i="15"/>
  <c r="Z20" i="15" s="1"/>
  <c r="AA20" i="15" l="1"/>
  <c r="Z21" i="15" s="1"/>
  <c r="AA19" i="13"/>
  <c r="Z20" i="13" s="1"/>
  <c r="Z17" i="16"/>
  <c r="AA20" i="13" l="1"/>
  <c r="Z21" i="13" s="1"/>
  <c r="AA21" i="15"/>
  <c r="Z22" i="15" s="1"/>
  <c r="AA17" i="16"/>
  <c r="Z18" i="16" s="1"/>
  <c r="AA18" i="16" l="1"/>
  <c r="Z19" i="16" s="1"/>
  <c r="AA22" i="15"/>
  <c r="Z23" i="15" s="1"/>
  <c r="AA21" i="13"/>
  <c r="Z22" i="13" s="1"/>
  <c r="AA22" i="13" l="1"/>
  <c r="Z23" i="13" s="1"/>
  <c r="AA23" i="15"/>
  <c r="Z24" i="15" s="1"/>
  <c r="AA19" i="16"/>
  <c r="Z20" i="16" s="1"/>
  <c r="AA20" i="16" l="1"/>
  <c r="Z21" i="16" s="1"/>
  <c r="AA24" i="15"/>
  <c r="Z25" i="15" s="1"/>
  <c r="AA23" i="13"/>
  <c r="Z24" i="13" s="1"/>
  <c r="AA24" i="13" l="1"/>
  <c r="AA25" i="15"/>
  <c r="Z26" i="15" s="1"/>
  <c r="AA21" i="16"/>
  <c r="Z22" i="16" s="1"/>
  <c r="AA26" i="15" l="1"/>
  <c r="Z27" i="15" s="1"/>
  <c r="AA22" i="16"/>
  <c r="Z23" i="16" s="1"/>
  <c r="Z25" i="13"/>
  <c r="AA23" i="16" l="1"/>
  <c r="Z24" i="16" s="1"/>
  <c r="AA27" i="15"/>
  <c r="Z28" i="15" s="1"/>
  <c r="AA25" i="13"/>
  <c r="Z26" i="13" s="1"/>
  <c r="AA26" i="13" l="1"/>
  <c r="Z27" i="13" s="1"/>
  <c r="AA28" i="15"/>
  <c r="Z29" i="15" s="1"/>
  <c r="AA24" i="16"/>
  <c r="Z25" i="16" s="1"/>
  <c r="AA29" i="15" l="1"/>
  <c r="AA31" i="15" s="1"/>
  <c r="Z31" i="15"/>
  <c r="AA27" i="13"/>
  <c r="Z28" i="13" s="1"/>
  <c r="AA25" i="16"/>
  <c r="Z26" i="16" s="1"/>
  <c r="AA26" i="16" l="1"/>
  <c r="Z27" i="16" s="1"/>
  <c r="AA28" i="13"/>
  <c r="Z29" i="13" s="1"/>
  <c r="Z33" i="15"/>
  <c r="Z35" i="15" s="1"/>
  <c r="AA33" i="15"/>
  <c r="AC10" i="15" l="1"/>
  <c r="AD10" i="15" s="1"/>
  <c r="AC11" i="15" s="1"/>
  <c r="AD11" i="15" s="1"/>
  <c r="AE11" i="15" s="1"/>
  <c r="AA29" i="13"/>
  <c r="AA31" i="13" s="1"/>
  <c r="Z31" i="13"/>
  <c r="AA27" i="16"/>
  <c r="Z28" i="16" s="1"/>
  <c r="AA28" i="16" l="1"/>
  <c r="Z29" i="16" s="1"/>
  <c r="AC12" i="15"/>
  <c r="AD12" i="15" s="1"/>
  <c r="AE12" i="15" s="1"/>
  <c r="Z33" i="13"/>
  <c r="Z35" i="13" s="1"/>
  <c r="AE10" i="15"/>
  <c r="AA33" i="13"/>
  <c r="AC10" i="13" l="1"/>
  <c r="AD10" i="13" s="1"/>
  <c r="AC11" i="13" s="1"/>
  <c r="AA29" i="16"/>
  <c r="AA31" i="16" s="1"/>
  <c r="Z31" i="16"/>
  <c r="AC13" i="15"/>
  <c r="AD11" i="13" l="1"/>
  <c r="AE11" i="13" s="1"/>
  <c r="Z33" i="16"/>
  <c r="Z35" i="16" s="1"/>
  <c r="AA33" i="16"/>
  <c r="AD13" i="15"/>
  <c r="AE13" i="15" s="1"/>
  <c r="AE10" i="13"/>
  <c r="AC10" i="16" l="1"/>
  <c r="AD10" i="16" s="1"/>
  <c r="AE10" i="16" s="1"/>
  <c r="AC14" i="15"/>
  <c r="AC12" i="13"/>
  <c r="AD12" i="13" l="1"/>
  <c r="AC13" i="13" s="1"/>
  <c r="AC11" i="16"/>
  <c r="AD14" i="15"/>
  <c r="AE14" i="15" s="1"/>
  <c r="AD13" i="13" l="1"/>
  <c r="AE13" i="13" s="1"/>
  <c r="AC15" i="15"/>
  <c r="AE12" i="13"/>
  <c r="AD11" i="16"/>
  <c r="AC12" i="16" s="1"/>
  <c r="AD12" i="16" s="1"/>
  <c r="AE12" i="16" s="1"/>
  <c r="AC14" i="13" l="1"/>
  <c r="AD14" i="13" s="1"/>
  <c r="AE14" i="13" s="1"/>
  <c r="AE11" i="16"/>
  <c r="AD15" i="15"/>
  <c r="AE15" i="15" s="1"/>
  <c r="AC13" i="16"/>
  <c r="AD13" i="16" s="1"/>
  <c r="AE13" i="16" s="1"/>
  <c r="AC15" i="13" l="1"/>
  <c r="AD15" i="13" s="1"/>
  <c r="AC16" i="13" s="1"/>
  <c r="AC16" i="15"/>
  <c r="AC14" i="16"/>
  <c r="AD14" i="16" l="1"/>
  <c r="AC15" i="16" s="1"/>
  <c r="AD16" i="15"/>
  <c r="AE16" i="15" s="1"/>
  <c r="AD16" i="13"/>
  <c r="AE16" i="13" s="1"/>
  <c r="AE15" i="13"/>
  <c r="AC17" i="13" l="1"/>
  <c r="AD17" i="13" s="1"/>
  <c r="AE17" i="13" s="1"/>
  <c r="AD15" i="16"/>
  <c r="AE15" i="16" s="1"/>
  <c r="AC17" i="15"/>
  <c r="AE14" i="16"/>
  <c r="AC18" i="13" l="1"/>
  <c r="AD18" i="13" s="1"/>
  <c r="AE18" i="13" s="1"/>
  <c r="AD17" i="15"/>
  <c r="AE17" i="15" s="1"/>
  <c r="AC16" i="16"/>
  <c r="AD16" i="16" l="1"/>
  <c r="AE16" i="16" s="1"/>
  <c r="AC19" i="13"/>
  <c r="AC18" i="15"/>
  <c r="AD18" i="15" l="1"/>
  <c r="AE18" i="15" s="1"/>
  <c r="AD19" i="13"/>
  <c r="AE19" i="13" s="1"/>
  <c r="AC17" i="16"/>
  <c r="AC20" i="13" l="1"/>
  <c r="AD20" i="13" s="1"/>
  <c r="AE20" i="13" s="1"/>
  <c r="AD17" i="16"/>
  <c r="AE17" i="16" s="1"/>
  <c r="AC19" i="15"/>
  <c r="AC18" i="16" l="1"/>
  <c r="AD18" i="16" s="1"/>
  <c r="AE18" i="16" s="1"/>
  <c r="AD19" i="15"/>
  <c r="AE19" i="15" s="1"/>
  <c r="AC21" i="13"/>
  <c r="AC19" i="16" l="1"/>
  <c r="AD21" i="13"/>
  <c r="AE21" i="13" s="1"/>
  <c r="AC20" i="15"/>
  <c r="AD20" i="15" l="1"/>
  <c r="AE20" i="15" s="1"/>
  <c r="AC22" i="13"/>
  <c r="AD19" i="16"/>
  <c r="AE19" i="16" s="1"/>
  <c r="AC21" i="15" l="1"/>
  <c r="AC20" i="16"/>
  <c r="AD22" i="13"/>
  <c r="AE22" i="13" s="1"/>
  <c r="AC23" i="13" l="1"/>
  <c r="AD20" i="16"/>
  <c r="AE20" i="16" s="1"/>
  <c r="AD21" i="15"/>
  <c r="AE21" i="15" s="1"/>
  <c r="AC21" i="16" l="1"/>
  <c r="AD21" i="16" s="1"/>
  <c r="AE21" i="16" s="1"/>
  <c r="AC22" i="15"/>
  <c r="AD23" i="13"/>
  <c r="AE23" i="13" s="1"/>
  <c r="AC24" i="13" l="1"/>
  <c r="AC22" i="16"/>
  <c r="AD22" i="15"/>
  <c r="AE22" i="15" s="1"/>
  <c r="AC23" i="15" l="1"/>
  <c r="AD22" i="16"/>
  <c r="AE22" i="16" s="1"/>
  <c r="AD24" i="13"/>
  <c r="AE24" i="13" s="1"/>
  <c r="AC23" i="16" l="1"/>
  <c r="AD23" i="16" s="1"/>
  <c r="AE23" i="16" s="1"/>
  <c r="AC25" i="13"/>
  <c r="AD23" i="15"/>
  <c r="AE23" i="15" s="1"/>
  <c r="AC24" i="15" l="1"/>
  <c r="AC24" i="16"/>
  <c r="AD25" i="13"/>
  <c r="AE25" i="13" s="1"/>
  <c r="AC26" i="13" l="1"/>
  <c r="AD24" i="16"/>
  <c r="AE24" i="16" s="1"/>
  <c r="AD24" i="15"/>
  <c r="AE24" i="15" s="1"/>
  <c r="AD26" i="13" l="1"/>
  <c r="AE26" i="13" s="1"/>
  <c r="AC25" i="15"/>
  <c r="AC25" i="16"/>
  <c r="AD25" i="16" l="1"/>
  <c r="AE25" i="16" s="1"/>
  <c r="AD25" i="15"/>
  <c r="AE25" i="15" s="1"/>
  <c r="AC27" i="13"/>
  <c r="AD27" i="13" l="1"/>
  <c r="AE27" i="13" s="1"/>
  <c r="AC26" i="15"/>
  <c r="AC26" i="16"/>
  <c r="AD26" i="16" l="1"/>
  <c r="AE26" i="16" s="1"/>
  <c r="AD26" i="15"/>
  <c r="AE26" i="15" s="1"/>
  <c r="AC28" i="13"/>
  <c r="AD28" i="13" l="1"/>
  <c r="AE28" i="13" s="1"/>
  <c r="AC27" i="15"/>
  <c r="AC27" i="16"/>
  <c r="AD27" i="16" l="1"/>
  <c r="AE27" i="16" s="1"/>
  <c r="AD27" i="15"/>
  <c r="AE27" i="15" s="1"/>
  <c r="AC29" i="13"/>
  <c r="AC28" i="16" l="1"/>
  <c r="AD29" i="13"/>
  <c r="AC31" i="13"/>
  <c r="AC28" i="15"/>
  <c r="AE29" i="13" l="1"/>
  <c r="AE31" i="13" s="1"/>
  <c r="AD31" i="13"/>
  <c r="AD28" i="15"/>
  <c r="AE28" i="15" s="1"/>
  <c r="AC33" i="13"/>
  <c r="AC35" i="13" s="1"/>
  <c r="Z38" i="13"/>
  <c r="AD28" i="16"/>
  <c r="AE28" i="16" s="1"/>
  <c r="AE38" i="13" l="1"/>
  <c r="AC29" i="15"/>
  <c r="C35" i="13"/>
  <c r="AD33" i="13"/>
  <c r="AA38" i="13"/>
  <c r="C36" i="13" s="1"/>
  <c r="E60" i="1" s="1"/>
  <c r="AC29" i="16"/>
  <c r="AB38" i="13" l="1"/>
  <c r="E59" i="1"/>
  <c r="E61" i="1" s="1"/>
  <c r="E62" i="1" s="1"/>
  <c r="C37" i="13"/>
  <c r="C38" i="13" s="1"/>
  <c r="C42" i="13" s="1"/>
  <c r="AD29" i="16"/>
  <c r="AC31" i="16"/>
  <c r="AD29" i="15"/>
  <c r="AC31" i="15"/>
  <c r="AC33" i="15" l="1"/>
  <c r="AC35" i="15" s="1"/>
  <c r="Z38" i="15"/>
  <c r="AE29" i="15"/>
  <c r="AE31" i="15" s="1"/>
  <c r="AD31" i="15"/>
  <c r="AC33" i="16"/>
  <c r="AC35" i="16" s="1"/>
  <c r="Z38" i="16"/>
  <c r="AE29" i="16"/>
  <c r="AE31" i="16" s="1"/>
  <c r="AD31" i="16"/>
  <c r="AE38" i="16" l="1"/>
  <c r="AE38" i="15"/>
  <c r="AD33" i="16"/>
  <c r="AA38" i="16"/>
  <c r="C36" i="16" s="1"/>
  <c r="C35" i="16"/>
  <c r="AD33" i="15"/>
  <c r="AA38" i="15"/>
  <c r="C36" i="15" s="1"/>
  <c r="F60" i="1" s="1"/>
  <c r="C35" i="15"/>
  <c r="F59" i="1" l="1"/>
  <c r="F61" i="1" s="1"/>
  <c r="C37" i="15"/>
  <c r="C44" i="15" s="1"/>
  <c r="AB38" i="16"/>
  <c r="C37" i="16"/>
  <c r="C44" i="16" s="1"/>
  <c r="AB38" i="15"/>
  <c r="F62" i="1" l="1"/>
  <c r="C38" i="16"/>
  <c r="C42" i="16" s="1"/>
  <c r="C38" i="15"/>
  <c r="C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D26" authorId="0" shapeId="0" xr:uid="{00000000-0006-0000-0000-000001000000}">
      <text>
        <r>
          <rPr>
            <sz val="9"/>
            <color indexed="81"/>
            <rFont val="Tahoma"/>
            <family val="2"/>
          </rPr>
          <t>Red triangle indicates that additional information is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Kelly Nelson</author>
    <author>Jason Rogers</author>
  </authors>
  <commentList>
    <comment ref="D14" authorId="0" shapeId="0" xr:uid="{00000000-0006-0000-0100-000001000000}">
      <text>
        <r>
          <rPr>
            <sz val="9"/>
            <color indexed="81"/>
            <rFont val="Tahoma"/>
            <family val="2"/>
          </rPr>
          <t>"Primary care" means a general or family practitioner, a pediatrician, an OB/GYN, an internist (internal medicine), nurse practitioner, and possibly others.  
While mental health practitioners are not generally considered "primary care," you should enter those visits here rather than under "Other Specialists."</t>
        </r>
      </text>
    </comment>
    <comment ref="E14" authorId="1" shapeId="0" xr:uid="{1478E59F-BDBC-4C8E-9905-B119FF2EDAB0}">
      <text>
        <r>
          <rPr>
            <sz val="9"/>
            <color indexed="81"/>
            <rFont val="Tahoma"/>
            <family val="2"/>
          </rPr>
          <t>Each covered person has a 45-visit annual limit (combined for all provider types) for these visits.</t>
        </r>
      </text>
    </comment>
    <comment ref="F14" authorId="2" shapeId="0" xr:uid="{00000000-0006-0000-0100-000002000000}">
      <text>
        <r>
          <rPr>
            <sz val="9"/>
            <color indexed="81"/>
            <rFont val="Tahoma"/>
            <family val="2"/>
          </rPr>
          <t>Each covered person has the following annual limits for these visits:
Chiropractic: 12
Acupuncture: 12</t>
        </r>
      </text>
    </comment>
    <comment ref="G14" authorId="0" shapeId="0" xr:uid="{00000000-0006-0000-0100-000003000000}">
      <text>
        <r>
          <rPr>
            <sz val="9"/>
            <color indexed="81"/>
            <rFont val="Tahoma"/>
            <family val="2"/>
          </rPr>
          <t xml:space="preserve">"Specialist" refers to all types of providers who do not fall under "Preventive Care" or any other category in this section.   Examples include any medical or surgical specialty, cardiology, dermatology and neurology.
</t>
        </r>
      </text>
    </comment>
    <comment ref="F36" authorId="0" shapeId="0" xr:uid="{00000000-0006-0000-0100-000004000000}">
      <text>
        <r>
          <rPr>
            <sz val="9"/>
            <color indexed="81"/>
            <rFont val="Tahoma"/>
            <family val="2"/>
          </rPr>
          <t>Magnetic resonance imaging (MRI) uses radio waves and a strong magnetic field rather than x-rays to provide clear and detailed pictures of internal organs and tissues.
Computed tomography (CT)—sometimes called CAT scan—uses special x-ray equipment to obtain image data from different angles around the body then uses computer processing of the information to show a cross-section of body tissues and organs.
A positron emission tomography (PET) scan is an imaging test that helps reveal how your tissues and organs are functioning. A PET scan uses a radioactive drug (tracer) to show this activity. This scan can sometimes detect disease before it shows up on other imaging tests.</t>
        </r>
      </text>
    </comment>
    <comment ref="F37" authorId="0" shapeId="0" xr:uid="{00000000-0006-0000-0100-000005000000}">
      <text>
        <r>
          <rPr>
            <sz val="9"/>
            <color indexed="81"/>
            <rFont val="Tahoma"/>
            <family val="2"/>
          </rPr>
          <t>Computed tomography (CT)—sometimes called CAT scan—uses special x-ray equipment to obtain image data from different angles around the body then uses computer processing of the information to show a cross-section of body tissues and organs.</t>
        </r>
      </text>
    </comment>
    <comment ref="C41" authorId="2" shapeId="0" xr:uid="{00000000-0006-0000-0100-000006000000}">
      <text>
        <r>
          <rPr>
            <sz val="9"/>
            <color indexed="81"/>
            <rFont val="Tahoma"/>
            <family val="2"/>
          </rPr>
          <t xml:space="preserve">"Total cost" means the total amount the insurance company allows the provider to charge.  It does not mean your out-of-pocket cost (what the provider bills you). </t>
        </r>
      </text>
    </comment>
    <comment ref="C45" authorId="2" shapeId="0" xr:uid="{00000000-0006-0000-0100-000007000000}">
      <text>
        <r>
          <rPr>
            <sz val="9"/>
            <color indexed="81"/>
            <rFont val="Tahoma"/>
            <family val="2"/>
          </rPr>
          <t xml:space="preserve">"Total cost" means the total amount the insurance company allows the provider to charge.  It does not mean your out-of-pocket cost (what the provider bills you). </t>
        </r>
      </text>
    </comment>
    <comment ref="F46" authorId="2" shapeId="0" xr:uid="{00000000-0006-0000-0100-000008000000}">
      <text>
        <r>
          <rPr>
            <sz val="9"/>
            <color indexed="81"/>
            <rFont val="Tahoma"/>
            <family val="2"/>
          </rPr>
          <t>Includes, but is not limited to, inpatient hospital, and outpatient hospital visits.</t>
        </r>
      </text>
    </comment>
    <comment ref="C50" authorId="2" shapeId="0" xr:uid="{631497D2-52D8-4457-806F-7AC16E776DD3}">
      <text>
        <r>
          <rPr>
            <sz val="9"/>
            <color indexed="81"/>
            <rFont val="Tahoma"/>
            <family val="2"/>
          </rPr>
          <t>2022 maximum annual contributions are $3,650 for single coverage and $7,300 for those electing family coverage.  In addition, employees 55 years or older may contribute an additional $1,000 per year. Maximums include contributions from all sources (employee and employer) and are calculated on a calendar year basis.</t>
        </r>
      </text>
    </comment>
    <comment ref="B57" authorId="2" shapeId="0" xr:uid="{00000000-0006-0000-0100-00000A000000}">
      <text>
        <r>
          <rPr>
            <sz val="9"/>
            <color indexed="81"/>
            <rFont val="Tahoma"/>
            <family val="2"/>
          </rPr>
          <t>Employee Premiums are the amounts you have deducted from your paychecks for health insurance.</t>
        </r>
      </text>
    </comment>
    <comment ref="B58" authorId="2" shapeId="0" xr:uid="{00000000-0006-0000-0100-00000B000000}">
      <text>
        <r>
          <rPr>
            <sz val="9"/>
            <color indexed="81"/>
            <rFont val="Tahoma"/>
            <family val="2"/>
          </rPr>
          <t>You make copays on the PPO for certain services; copays count towards your out-of-pocket maximum.</t>
        </r>
      </text>
    </comment>
    <comment ref="B59" authorId="2" shapeId="0" xr:uid="{00000000-0006-0000-0100-00000C000000}">
      <text>
        <r>
          <rPr>
            <sz val="9"/>
            <color indexed="81"/>
            <rFont val="Tahoma"/>
            <family val="2"/>
          </rPr>
          <t xml:space="preserve">The deductible is the amount you must pay before the plan begins to pay benefits for many services.  Some services are not subject to the deductible.   </t>
        </r>
      </text>
    </comment>
    <comment ref="B60" authorId="2" shapeId="0" xr:uid="{00000000-0006-0000-0100-00000D000000}">
      <text>
        <r>
          <rPr>
            <sz val="9"/>
            <color indexed="81"/>
            <rFont val="Tahoma"/>
            <family val="2"/>
          </rPr>
          <t>Coinsurance is the portion of health care expenses you pay after the deductible is satisfied.  Once you meet your out-of-pocket maximum, both plans will cover services at 100%.</t>
        </r>
      </text>
    </comment>
    <comment ref="B66" authorId="2" shapeId="0" xr:uid="{00000000-0006-0000-0100-00000E000000}">
      <text>
        <r>
          <rPr>
            <sz val="9"/>
            <color indexed="81"/>
            <rFont val="Tahoma"/>
            <family val="2"/>
          </rPr>
          <t>Employee Premiums are the amounts you have deducted from your paychecks for health insurance. The total here does not include the tobacco or working spouse surcharges, if applicable.</t>
        </r>
      </text>
    </comment>
    <comment ref="B67" authorId="2" shapeId="0" xr:uid="{00000000-0006-0000-0100-00000F000000}">
      <text>
        <r>
          <rPr>
            <sz val="9"/>
            <color indexed="81"/>
            <rFont val="Tahoma"/>
            <family val="2"/>
          </rPr>
          <t>You make copays on the PPO plan for certain services.  Both plans include deductibles and coinsurance.  All of these count towards you out-of-pocket maximum.</t>
        </r>
      </text>
    </comment>
  </commentList>
</comments>
</file>

<file path=xl/sharedStrings.xml><?xml version="1.0" encoding="utf-8"?>
<sst xmlns="http://schemas.openxmlformats.org/spreadsheetml/2006/main" count="769" uniqueCount="268">
  <si>
    <t>Total Other Expenses</t>
  </si>
  <si>
    <t>Outpatient Procedures</t>
  </si>
  <si>
    <t>Employee Only</t>
  </si>
  <si>
    <t>Preferred Brand</t>
  </si>
  <si>
    <t>Non-Preferred Brand</t>
  </si>
  <si>
    <t>Other</t>
  </si>
  <si>
    <t>Coinsurance</t>
  </si>
  <si>
    <t>1.</t>
  </si>
  <si>
    <t>2.</t>
  </si>
  <si>
    <t>3.</t>
  </si>
  <si>
    <t>4.</t>
  </si>
  <si>
    <t>5.</t>
  </si>
  <si>
    <t>6.</t>
  </si>
  <si>
    <t>7.</t>
  </si>
  <si>
    <t>Retail</t>
  </si>
  <si>
    <t>Mail Order</t>
  </si>
  <si>
    <t>Based on your entries, your total estimated annual cost for each plan is:</t>
  </si>
  <si>
    <t>When calculating estimates, the tool assumes:</t>
  </si>
  <si>
    <t>- You are covered for one full year.  All cost estimates are annual figures.</t>
  </si>
  <si>
    <t>Employee/Children</t>
  </si>
  <si>
    <t>Employee HSA Contribution (Annual)</t>
  </si>
  <si>
    <t>Office Visits</t>
  </si>
  <si>
    <t>Other 
Specialists</t>
  </si>
  <si>
    <t>Employee/Spouse/Children</t>
  </si>
  <si>
    <t>Employee/Spouse/One Child</t>
  </si>
  <si>
    <t>MRI</t>
  </si>
  <si>
    <t>Employee/One Child</t>
  </si>
  <si>
    <t>Payroll Contributions</t>
  </si>
  <si>
    <t>Employee HSA Contributions</t>
  </si>
  <si>
    <t>Total</t>
  </si>
  <si>
    <t>Notes:</t>
  </si>
  <si>
    <t>Employee/Spouse</t>
  </si>
  <si>
    <t xml:space="preserve">Additional guidance and instructions are available on the "Cost Estimator" worksheet by holding your cursor over cells with red triangles.  </t>
  </si>
  <si>
    <r>
      <t xml:space="preserve">Once you have answered the seven questions, the estimates of your annual cost for each plan are available in the blue highlighted section.  Please note that the tool is designed to provide you with an </t>
    </r>
    <r>
      <rPr>
        <u/>
        <sz val="10"/>
        <rFont val="Calibri"/>
        <family val="2"/>
        <scheme val="minor"/>
      </rPr>
      <t>estimate</t>
    </r>
    <r>
      <rPr>
        <sz val="10"/>
        <rFont val="Calibri"/>
        <family val="2"/>
        <scheme val="minor"/>
      </rPr>
      <t>; your actual costs will vary.  The tool does not guarantee that any particular services will be covered nor the level of coverage.</t>
    </r>
  </si>
  <si>
    <t>Plan Type</t>
  </si>
  <si>
    <t>PPO</t>
  </si>
  <si>
    <t>Primary
Care (excluding Preventive)</t>
  </si>
  <si>
    <t>OOP Maximum</t>
  </si>
  <si>
    <t>Assumptions</t>
  </si>
  <si>
    <t>What this worksheet can't do yet</t>
  </si>
  <si>
    <t>Client</t>
  </si>
  <si>
    <t>Separate OOP Max for Rx</t>
  </si>
  <si>
    <t>Unit Cost Assumptions</t>
  </si>
  <si>
    <t>Office Visits - Preventive</t>
  </si>
  <si>
    <t>Lable Builder</t>
  </si>
  <si>
    <t>Plan Name</t>
  </si>
  <si>
    <t>Plan Parameters</t>
  </si>
  <si>
    <t>comb</t>
  </si>
  <si>
    <t>HSA</t>
  </si>
  <si>
    <t>HMO, POS PPO, HSA or HRA. If HRA or HSA, footnotes on following page will change.</t>
  </si>
  <si>
    <t>Ded</t>
  </si>
  <si>
    <t>HMO</t>
  </si>
  <si>
    <t>Family</t>
  </si>
  <si>
    <t>POS</t>
  </si>
  <si>
    <t>(Less HSA Reimbursement)</t>
  </si>
  <si>
    <t>HSA Rollover</t>
  </si>
  <si>
    <t>HRA</t>
  </si>
  <si>
    <t>(Less HRA Reimbursement)</t>
  </si>
  <si>
    <t>HRA Rollover</t>
  </si>
  <si>
    <t>Does OOP Max include medical copays?</t>
  </si>
  <si>
    <t>Does OOP Max include Rx copays?</t>
  </si>
  <si>
    <t>Does Ind Deductible Apply to family member?</t>
  </si>
  <si>
    <t>Does Individual OOP Apply to family member?</t>
  </si>
  <si>
    <t>Service-Specific Cost Sharing Features</t>
  </si>
  <si>
    <t>Preventive office visit</t>
  </si>
  <si>
    <t>Copay</t>
  </si>
  <si>
    <t>Copay applies only after deductible?</t>
  </si>
  <si>
    <t>1st dollar coverage prior to cost-sharing?</t>
  </si>
  <si>
    <t>Ded applies?</t>
  </si>
  <si>
    <t>Coins applies?</t>
  </si>
  <si>
    <t>(Less HRA/HSA Reimbursement)</t>
  </si>
  <si>
    <t>HRA/HSA Rollover</t>
  </si>
  <si>
    <t>(Less HSA/HRA Reimbursement)</t>
  </si>
  <si>
    <t>HSA/HRA Rollover</t>
  </si>
  <si>
    <t>Notes</t>
  </si>
  <si>
    <t>Monthly Employee Contributions</t>
  </si>
  <si>
    <t>Family Util Assumptions</t>
  </si>
  <si>
    <t>1st Member</t>
  </si>
  <si>
    <t>2nd Member</t>
  </si>
  <si>
    <t>3rd Member</t>
  </si>
  <si>
    <t>Medical Care</t>
  </si>
  <si>
    <t>#</t>
  </si>
  <si>
    <t>Total Cost</t>
  </si>
  <si>
    <t>Cost</t>
  </si>
  <si>
    <t>copay applies after deductible?</t>
  </si>
  <si>
    <t>Ded Applies?</t>
  </si>
  <si>
    <t>Coins Applies?</t>
  </si>
  <si>
    <t>Copays</t>
  </si>
  <si>
    <t>Deductible</t>
  </si>
  <si>
    <t>Coins.</t>
  </si>
  <si>
    <t>Plan Paid</t>
  </si>
  <si>
    <t>1st Dollar Coverage?</t>
  </si>
  <si>
    <t>OOP Max Applies?</t>
  </si>
  <si>
    <t>Totals</t>
  </si>
  <si>
    <t>Employee Out-of-pocket Cost</t>
  </si>
  <si>
    <t>OOP Max</t>
  </si>
  <si>
    <t>Credited to OOP Max</t>
  </si>
  <si>
    <t>Check</t>
  </si>
  <si>
    <t>Credited to Deductible</t>
  </si>
  <si>
    <t>Check:</t>
  </si>
  <si>
    <t>Total OOP</t>
  </si>
  <si>
    <t>Subtotal</t>
  </si>
  <si>
    <t>Annual Payroll Contributions</t>
  </si>
  <si>
    <t>HSA/HRA reimbursements and rollover amounts do not account for the use of any HSA balances rolled over from a prior year.</t>
  </si>
  <si>
    <t>Family OOP Max</t>
  </si>
  <si>
    <t>Cannot exceed $6,850 in 2016</t>
  </si>
  <si>
    <t>Util Category</t>
  </si>
  <si>
    <t>Family Util Assumption Model</t>
  </si>
  <si>
    <t>Selected by User:</t>
  </si>
  <si>
    <t>Chiro/Accupuncture/Massage</t>
  </si>
  <si>
    <t>Primary Care Office Visits</t>
  </si>
  <si>
    <t>Specialist Office Visits</t>
  </si>
  <si>
    <t>Retail Preferred Brand</t>
  </si>
  <si>
    <t>Retail Non-Preferred Brand</t>
  </si>
  <si>
    <t>Mail Order Preferred Brand</t>
  </si>
  <si>
    <t>Mail Order Non-Preferred Brand</t>
  </si>
  <si>
    <t>Lab and X-Ray</t>
  </si>
  <si>
    <t>Outpatient Procedures (Surgery)</t>
  </si>
  <si>
    <t>Cost Per Service</t>
  </si>
  <si>
    <t>Always 1 for NGF Plans</t>
  </si>
  <si>
    <t>CT Scan</t>
  </si>
  <si>
    <t>- If you are covering a family, this tool uses a very simple algorithm to distribute costs between family members.</t>
  </si>
  <si>
    <t xml:space="preserve"> </t>
  </si>
  <si>
    <t>Fam</t>
  </si>
  <si>
    <t>Family Member OOP Max</t>
  </si>
  <si>
    <t>i.e. "embedded"</t>
  </si>
  <si>
    <t>1. This is an estimate for informational purposes only.  You should verify these figures with your own research before relying on it for tax planning.</t>
  </si>
  <si>
    <t>Enter Your Marginal Federal Tax Rate:</t>
  </si>
  <si>
    <t>Annual Employee Cost Estimator — Instructions</t>
  </si>
  <si>
    <t>Annual Employee Cost Estimator — Worksheet</t>
  </si>
  <si>
    <t>For your reference, this file also includes a summary of each plan's benefits and out-of-pocket expenses.</t>
  </si>
  <si>
    <t>Other Labels and Items</t>
  </si>
  <si>
    <t>Plan Year Label</t>
  </si>
  <si>
    <t>Plan Year Inputs</t>
  </si>
  <si>
    <t>Use "2016" if CY2016, otherwise use "2015-2016" for non CY plan years</t>
  </si>
  <si>
    <t>Plan Year Start Date</t>
  </si>
  <si>
    <t>Plan Year End Date</t>
  </si>
  <si>
    <t>Question #2: Enter the number of office visits you expect to make during the plan year.</t>
  </si>
  <si>
    <t>Question #4: Enter the number of times you expect to have lab tests or x-rays in the plan year.</t>
  </si>
  <si>
    <t>Question #6: Enter the total cost, in dollars, for any other health care expenses you expect in the plan year.</t>
  </si>
  <si>
    <t>Carrier</t>
  </si>
  <si>
    <t>Premera</t>
  </si>
  <si>
    <t>Inpatient Hospitalization</t>
  </si>
  <si>
    <t>Enter the number of times you expect to have outpatient lab work, x-rays or other diagnostic procedures done in the upcoming plan year for non-preventive services.  Include yourself and your covered family members when estimating the number of times you expect to receive services.</t>
  </si>
  <si>
    <t xml:space="preserve">If you or your covered family members are expecting to have outpatient surgery procedure(s) in the upcoming plan year, enter the estimated total cost (in dollars) from all related providers for the procedure(s).  </t>
  </si>
  <si>
    <t>Max Visits</t>
  </si>
  <si>
    <t>NA</t>
  </si>
  <si>
    <t>PPO Plan</t>
  </si>
  <si>
    <t>HSP Plan</t>
  </si>
  <si>
    <t>Name</t>
  </si>
  <si>
    <t>Possessive Form</t>
  </si>
  <si>
    <t>Range for Footnote</t>
  </si>
  <si>
    <t>If you use your employer's HSA contributions, your net estimated annual cost is:</t>
  </si>
  <si>
    <t>Worst Case Analysis</t>
  </si>
  <si>
    <t>Contributions</t>
  </si>
  <si>
    <t>HSA Reimbursment</t>
  </si>
  <si>
    <t>mems</t>
  </si>
  <si>
    <t>Fam Mems</t>
  </si>
  <si>
    <t>Embedded OOP Max</t>
  </si>
  <si>
    <t>Fam Max</t>
  </si>
  <si>
    <t>Effective Max</t>
  </si>
  <si>
    <t>-</t>
  </si>
  <si>
    <t>Yes</t>
  </si>
  <si>
    <t>Preventive Care</t>
  </si>
  <si>
    <t>None (dw)</t>
  </si>
  <si>
    <t>Outpatient Lab, X-Ray</t>
  </si>
  <si>
    <t>Inpatient Hospital</t>
  </si>
  <si>
    <t>Outpatient Surgery</t>
  </si>
  <si>
    <t>Out-of-network Summary</t>
  </si>
  <si>
    <t>Green Diamond Resource Company</t>
  </si>
  <si>
    <t>Green Diamond's</t>
  </si>
  <si>
    <t xml:space="preserve"> This answer does not impact the out-of-pocket estimate, but is used on the "Tax Savings" tab. </t>
  </si>
  <si>
    <t>HSP</t>
  </si>
  <si>
    <t>Question #5: Enter the total cost, in dollars, for any outpatient procedures you expect to have in the plan year.  "Total cost" means the total amount the insurance company allows the provider to charge.  It does not mean your out-of-pocket cost (what the provider bills you).  You may find the treatment cost estimator available at www.premera.com useful for this purpose.</t>
  </si>
  <si>
    <t>Potential Federal Income Tax Savings (If Electing HSA-Qualified Plan)</t>
  </si>
  <si>
    <t xml:space="preserve">3. HSA distributions that are used to pay the expenses of a non-tax dependent are not exempt from federal taxes. </t>
  </si>
  <si>
    <t>Cost of electing PPO Plan instead of HSP Plan:</t>
  </si>
  <si>
    <t>Tax-adjusted cost of electing PPO Plan instead of HSP Plan:</t>
  </si>
  <si>
    <r>
      <t xml:space="preserve">On the "Cost Estimator" worksheet, answer questions 1-7.  Consider your responses carefully.   </t>
    </r>
    <r>
      <rPr>
        <b/>
        <sz val="10"/>
        <rFont val="Calibri"/>
        <family val="2"/>
        <scheme val="minor"/>
      </rPr>
      <t xml:space="preserve">When estimating your health plan usage, consider your own usage as well as that of your spouse and/or children (if they are covered).  </t>
    </r>
    <r>
      <rPr>
        <sz val="10"/>
        <rFont val="Calibri"/>
        <family val="2"/>
        <scheme val="minor"/>
      </rPr>
      <t>Please ensure Excel's "Calculation Option" is set to "Automatic" before beginning.</t>
    </r>
  </si>
  <si>
    <t>In-network Summary</t>
  </si>
  <si>
    <t>Single Deductible</t>
  </si>
  <si>
    <t>Family Deductible</t>
  </si>
  <si>
    <t>Embedded Individual Deductible</t>
  </si>
  <si>
    <t>$4,500</t>
  </si>
  <si>
    <t>$9,000</t>
  </si>
  <si>
    <t>Employer Contribution to HSA</t>
  </si>
  <si>
    <t>Funding Schedule</t>
  </si>
  <si>
    <t>Per Pay</t>
  </si>
  <si>
    <t>Single - Annual</t>
  </si>
  <si>
    <t>Family - Annual</t>
  </si>
  <si>
    <t>Single - Per Pay</t>
  </si>
  <si>
    <t>Family - Per Pay</t>
  </si>
  <si>
    <t>PCP Office Visit (non-preventive)</t>
  </si>
  <si>
    <t>Specialist Office Visit</t>
  </si>
  <si>
    <t>Formulary Generic</t>
  </si>
  <si>
    <t>$10</t>
  </si>
  <si>
    <t>Formulary Brand</t>
  </si>
  <si>
    <t>$30</t>
  </si>
  <si>
    <t>Non-Formulary, Generic or Brand</t>
  </si>
  <si>
    <t>30%</t>
  </si>
  <si>
    <t>$25</t>
  </si>
  <si>
    <t>$75</t>
  </si>
  <si>
    <t xml:space="preserve">Formulary </t>
  </si>
  <si>
    <t>$50</t>
  </si>
  <si>
    <t>Non-Formulary</t>
  </si>
  <si>
    <t>$1,500</t>
  </si>
  <si>
    <t>Member Coinsurance (most services)</t>
  </si>
  <si>
    <t>40%</t>
  </si>
  <si>
    <t>$18,000</t>
  </si>
  <si>
    <t>HIDE</t>
  </si>
  <si>
    <t>* Assumes you have a large claim(s) that results in meeting the plan's out-of-pocket maximum.  Includes your cost-sharing and employee premiums. HSP total includes net effect of employer HSA contribution.</t>
  </si>
  <si>
    <t>Preferred Generic</t>
  </si>
  <si>
    <t>Non-Preferred Generic</t>
  </si>
  <si>
    <t>Preferred Specialty</t>
  </si>
  <si>
    <t>Non-Preferred Specialty</t>
  </si>
  <si>
    <t>Retail Preferred Generic</t>
  </si>
  <si>
    <t>Retail Non-Preferred Generic</t>
  </si>
  <si>
    <t>Mail Order Preferred Generic</t>
  </si>
  <si>
    <t>Mail Order Non-Preferred Generic</t>
  </si>
  <si>
    <t>Coinsurance (Drug)</t>
  </si>
  <si>
    <t>Coinsurance (Non-Drug)</t>
  </si>
  <si>
    <t>Specialty</t>
  </si>
  <si>
    <t>Preferred</t>
  </si>
  <si>
    <t>Non-Preferred</t>
  </si>
  <si>
    <t>Use "NA" if no third plan is being used</t>
  </si>
  <si>
    <t>Advanced Imaging</t>
  </si>
  <si>
    <t>[HOLD]</t>
  </si>
  <si>
    <t>Advanced Imaging (MRI/CT)</t>
  </si>
  <si>
    <t>Lab and X-ray Services (other than MRI, CT Scan, PET)</t>
  </si>
  <si>
    <t>Advanced Imaging (MRIs, CT, and PET)</t>
  </si>
  <si>
    <t>Physical/Occupational Therapy</t>
  </si>
  <si>
    <t>Chiropractor/ Acupuncture</t>
  </si>
  <si>
    <t>Physical or Occupational Therapy/ Massage</t>
  </si>
  <si>
    <t>Chiro/Accupuncture</t>
  </si>
  <si>
    <t>Physical or Occupational Therapy/Massage</t>
  </si>
  <si>
    <t>$2,800</t>
  </si>
  <si>
    <t>$5,600</t>
  </si>
  <si>
    <t>Centers of Excellence</t>
  </si>
  <si>
    <t>Cardiac, Orthopedics, Spine</t>
  </si>
  <si>
    <t>$11,200</t>
  </si>
  <si>
    <t>(dw) = deductible waived</t>
  </si>
  <si>
    <t>Used last year</t>
  </si>
  <si>
    <t>Enter the estimated total cost (in dollars) for other expected claims that you have not accounted for in previous questions.  Include yourself and your covered family members when making your estimate.</t>
  </si>
  <si>
    <t>Enter the number of physician office visits you expect to have in the coming plan year. Include yourself and your covered family members when estimating the number of visits.  If you know how many times you and your dependents visited the doctor last year, that may be a good way to estimate this year's visits.  Do not include preventive care visits that will be covered at 100%.</t>
  </si>
  <si>
    <t>Comp Pricer Allowed for 1 visit</t>
  </si>
  <si>
    <t xml:space="preserve">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t>
  </si>
  <si>
    <t>Question #3: Enter the number of times you expect to pay a prescription drug copay during the plan year.  This number is not the number of prescriptions your doctor writes, but the number of times you expect to make a copay at the retail or mail order pharmacy.  Do not include any preventive prescriptions that you get free of charge.</t>
  </si>
  <si>
    <t>The green highlighted section provides an estimate of your "worst case" scenario.  These figures assume you have a large claim(s) that results in you having to pay your maximum out-of-pocket expense (full deductible, coinsurance, and the copays for services you entered in questions #2 and #3).  The estimate also includes your employee premiums.  Your cost could be even higher if you receive care outside Premera’s network.</t>
  </si>
  <si>
    <t>Enter the number of retail and mail order prescription copays you expect in the coming plan year that are not covered at 100% (many preventive drugs and birth control are covered at 100% with no cost to you).  Retail prescriptions are generally for a one-month supply and mail order prescriptions generally cover three months.  So, for example, if you fill a prescription every month at a retail pharmacy, count that as 12 prescription copays.  Count a mail order prescription copay for a 3-month supply as 1 copay.  Include yourself and your covered family members when estimating the number of prescriptions.  If you are unsure whether a drug is preferred or non-preferred, login at www.premera.com for more information.</t>
  </si>
  <si>
    <t xml:space="preserve">Medical/Pharmacy Plan Summary </t>
  </si>
  <si>
    <t>Single OOP Maximum</t>
  </si>
  <si>
    <t>Family OOP Maximum</t>
  </si>
  <si>
    <r>
      <t xml:space="preserve">In-network Medical Cost Shares </t>
    </r>
    <r>
      <rPr>
        <i/>
        <sz val="8"/>
        <rFont val="Calibri"/>
        <family val="2"/>
        <scheme val="minor"/>
      </rPr>
      <t xml:space="preserve"> (dw = deductible waived)</t>
    </r>
  </si>
  <si>
    <t>Retail Prescription Drugs (30-day)</t>
  </si>
  <si>
    <t>Mail Order Prescription Drugs</t>
  </si>
  <si>
    <t>Specialty Prescription Drugs</t>
  </si>
  <si>
    <t>Deductible, 20%</t>
  </si>
  <si>
    <t>$500</t>
  </si>
  <si>
    <t>$3,000</t>
  </si>
  <si>
    <t>$6,000</t>
  </si>
  <si>
    <t>$25 (dw)</t>
  </si>
  <si>
    <t>$40 (dw)</t>
  </si>
  <si>
    <t>$1,000</t>
  </si>
  <si>
    <t>$12,000</t>
  </si>
  <si>
    <t>2022-23</t>
  </si>
  <si>
    <t>x</t>
  </si>
  <si>
    <t>ER HSA/HRA contrib (annual)</t>
  </si>
  <si>
    <t>If you use your Green Diamond's HSA contributions, your net estimated annual cost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</si>
</sst>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2]* #,##0.00_);_([$€-2]* \(#,##0.00\);_([$€-2]* &quot;-&quot;??_)"/>
    <numFmt numFmtId="166" formatCode="0.00_)"/>
    <numFmt numFmtId="167" formatCode="&quot;$&quot;#,##0.00"/>
    <numFmt numFmtId="168" formatCode="@_)"/>
    <numFmt numFmtId="169" formatCode="0.0%"/>
    <numFmt numFmtId="170" formatCode="0.000"/>
    <numFmt numFmtId="171" formatCode="#,##0;\-#,##0;&quot;-&quot;"/>
    <numFmt numFmtId="172" formatCode="_-* #,##0.00_-;\-* #,##0.00_-;_-* &quot;-&quot;??_-;_-@_-"/>
    <numFmt numFmtId="173" formatCode="&quot;$&quot;#,##0\ ;\(&quot;$&quot;#,##0\)"/>
    <numFmt numFmtId="174" formatCode="0.0"/>
    <numFmt numFmtId="175" formatCode="&quot;$&quot;* #,##0;\(&quot;$&quot;* #,##0\)"/>
    <numFmt numFmtId="176" formatCode="General_)"/>
    <numFmt numFmtId="177" formatCode="000000"/>
    <numFmt numFmtId="178" formatCode="\ \ \ @"/>
    <numFmt numFmtId="179" formatCode="\ \ \ \ \ \ @"/>
    <numFmt numFmtId="180" formatCode="#,##0.0"/>
    <numFmt numFmtId="181" formatCode="mm/dd/yy"/>
    <numFmt numFmtId="182" formatCode="000000000"/>
  </numFmts>
  <fonts count="129">
    <font>
      <sz val="10"/>
      <name val="Arial"/>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name val="Arial"/>
      <family val="2"/>
    </font>
    <font>
      <sz val="8"/>
      <name val="Helv"/>
    </font>
    <font>
      <sz val="8"/>
      <name val="Arial"/>
      <family val="2"/>
    </font>
    <font>
      <u/>
      <sz val="10"/>
      <color indexed="12"/>
      <name val="Arial"/>
      <family val="2"/>
    </font>
    <font>
      <b/>
      <i/>
      <sz val="16"/>
      <name val="Helv"/>
    </font>
    <font>
      <sz val="7"/>
      <name val="Helv"/>
    </font>
    <font>
      <sz val="10"/>
      <name val="MS Sans Serif"/>
      <family val="2"/>
    </font>
    <font>
      <b/>
      <sz val="10"/>
      <name val="MS Sans Serif"/>
      <family val="2"/>
    </font>
    <font>
      <sz val="8"/>
      <name val="Arial"/>
      <family val="2"/>
    </font>
    <font>
      <b/>
      <sz val="10"/>
      <name val="Arial"/>
      <family val="2"/>
    </font>
    <font>
      <b/>
      <sz val="12"/>
      <name val="Arial"/>
      <family val="2"/>
    </font>
    <font>
      <sz val="9"/>
      <color indexed="81"/>
      <name val="Tahoma"/>
      <family val="2"/>
    </font>
    <font>
      <sz val="10"/>
      <name val="Arial"/>
      <family val="2"/>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u/>
      <sz val="10"/>
      <name val="Calibri"/>
      <family val="2"/>
      <scheme val="minor"/>
    </font>
    <font>
      <b/>
      <sz val="12"/>
      <name val="Calibri"/>
      <family val="2"/>
      <scheme val="minor"/>
    </font>
    <font>
      <b/>
      <i/>
      <sz val="10"/>
      <color indexed="10"/>
      <name val="Calibri"/>
      <family val="2"/>
      <scheme val="minor"/>
    </font>
    <font>
      <sz val="8"/>
      <name val="Calibri"/>
      <family val="2"/>
      <scheme val="minor"/>
    </font>
    <font>
      <b/>
      <sz val="10"/>
      <color rgb="FFFF0000"/>
      <name val="Calibri"/>
      <family val="2"/>
      <scheme val="minor"/>
    </font>
    <font>
      <i/>
      <sz val="10"/>
      <name val="Calibri"/>
      <family val="2"/>
      <scheme val="minor"/>
    </font>
    <font>
      <b/>
      <u/>
      <sz val="10"/>
      <name val="Calibri"/>
      <family val="2"/>
      <scheme val="minor"/>
    </font>
    <font>
      <b/>
      <i/>
      <sz val="10"/>
      <color rgb="FFFF0000"/>
      <name val="Calibri"/>
      <family val="2"/>
      <scheme val="minor"/>
    </font>
    <font>
      <sz val="7"/>
      <name val="Calibri"/>
      <family val="2"/>
      <scheme val="minor"/>
    </font>
    <font>
      <sz val="10"/>
      <color indexed="10"/>
      <name val="Calibri"/>
      <family val="2"/>
      <scheme val="minor"/>
    </font>
    <font>
      <u/>
      <sz val="10"/>
      <color indexed="12"/>
      <name val="Calibri"/>
      <family val="2"/>
      <scheme val="minor"/>
    </font>
    <font>
      <u/>
      <sz val="10"/>
      <color indexed="10"/>
      <name val="Calibri"/>
      <family val="2"/>
      <scheme val="minor"/>
    </font>
    <font>
      <b/>
      <i/>
      <sz val="10"/>
      <color indexed="16"/>
      <name val="Calibri"/>
      <family val="2"/>
      <scheme val="minor"/>
    </font>
    <font>
      <b/>
      <sz val="8"/>
      <color rgb="FFFF0000"/>
      <name val="Calibri"/>
      <family val="2"/>
      <scheme val="minor"/>
    </font>
    <font>
      <u/>
      <sz val="8"/>
      <name val="Calibri"/>
      <family val="2"/>
      <scheme val="minor"/>
    </font>
    <font>
      <sz val="11"/>
      <color theme="1"/>
      <name val="Calibri"/>
      <family val="2"/>
    </font>
    <font>
      <sz val="11"/>
      <name val="Calibri"/>
      <family val="2"/>
      <scheme val="minor"/>
    </font>
    <font>
      <sz val="9"/>
      <color theme="1"/>
      <name val="Calibri"/>
      <family val="2"/>
    </font>
    <font>
      <b/>
      <sz val="10"/>
      <name val="Helv"/>
    </font>
    <font>
      <sz val="8"/>
      <color indexed="32"/>
      <name val="Arial"/>
      <family val="2"/>
    </font>
    <font>
      <sz val="9"/>
      <color indexed="12"/>
      <name val="Helvetica"/>
    </font>
    <font>
      <sz val="9"/>
      <color indexed="12"/>
      <name val="Helvetica"/>
      <family val="2"/>
    </font>
    <font>
      <sz val="10"/>
      <color indexed="8"/>
      <name val="Arial"/>
      <family val="2"/>
    </font>
    <font>
      <sz val="10"/>
      <name val="Times New Roman"/>
      <family val="1"/>
    </font>
    <font>
      <sz val="11"/>
      <name val="Arial"/>
      <family val="2"/>
    </font>
    <font>
      <sz val="10"/>
      <color indexed="24"/>
      <name val="Arial"/>
      <family val="2"/>
    </font>
    <font>
      <sz val="10"/>
      <name val="Helv"/>
    </font>
    <font>
      <sz val="10"/>
      <name val="MS Serif"/>
      <family val="1"/>
    </font>
    <font>
      <sz val="12"/>
      <name val="Helv"/>
    </font>
    <font>
      <sz val="8"/>
      <name val="Times New Roman"/>
      <family val="1"/>
    </font>
    <font>
      <sz val="10"/>
      <name val="Book Antiqua"/>
      <family val="1"/>
    </font>
    <font>
      <sz val="10"/>
      <color indexed="16"/>
      <name val="MS Serif"/>
      <family val="1"/>
    </font>
    <font>
      <u/>
      <sz val="10"/>
      <color indexed="20"/>
      <name val="Arial"/>
      <family val="2"/>
    </font>
    <font>
      <u/>
      <sz val="10"/>
      <color indexed="39"/>
      <name val="Arial"/>
      <family val="2"/>
    </font>
    <font>
      <sz val="12"/>
      <name val="Helvetica"/>
    </font>
    <font>
      <sz val="12"/>
      <name val="Helvetica"/>
      <family val="2"/>
    </font>
    <font>
      <sz val="10"/>
      <name val="Helvetica"/>
    </font>
    <font>
      <sz val="10"/>
      <name val="Helvetica"/>
      <family val="2"/>
    </font>
    <font>
      <b/>
      <sz val="12"/>
      <name val="Helv"/>
    </font>
    <font>
      <b/>
      <sz val="8"/>
      <color indexed="9"/>
      <name val="Arial"/>
      <family val="2"/>
    </font>
    <font>
      <sz val="10"/>
      <color indexed="23"/>
      <name val="Arial"/>
      <family val="2"/>
    </font>
    <font>
      <sz val="9"/>
      <name val="New York"/>
    </font>
    <font>
      <b/>
      <sz val="14"/>
      <name val="Helv"/>
    </font>
    <font>
      <sz val="7"/>
      <name val="Small Fonts"/>
      <family val="2"/>
    </font>
    <font>
      <sz val="11"/>
      <color theme="1"/>
      <name val="Segoe UI"/>
      <family val="2"/>
    </font>
    <font>
      <sz val="11"/>
      <color indexed="8"/>
      <name val="Calibri"/>
      <family val="2"/>
    </font>
    <font>
      <sz val="7"/>
      <name val="Helvetica"/>
      <family val="2"/>
    </font>
    <font>
      <b/>
      <sz val="10"/>
      <color indexed="12"/>
      <name val="Helv"/>
    </font>
    <font>
      <b/>
      <sz val="10"/>
      <color indexed="12"/>
      <name val="Helvetica"/>
      <family val="2"/>
    </font>
    <font>
      <sz val="10"/>
      <color indexed="12"/>
      <name val="Helv"/>
    </font>
    <font>
      <sz val="10"/>
      <color indexed="12"/>
      <name val="Helvetica"/>
      <family val="2"/>
    </font>
    <font>
      <b/>
      <i/>
      <sz val="14"/>
      <name val="Times"/>
    </font>
    <font>
      <b/>
      <i/>
      <sz val="14"/>
      <name val="Times"/>
      <family val="1"/>
    </font>
    <font>
      <b/>
      <i/>
      <sz val="8"/>
      <name val="Arial"/>
      <family val="2"/>
    </font>
    <font>
      <i/>
      <u/>
      <sz val="10"/>
      <name val="Times New Roman"/>
      <family val="1"/>
    </font>
    <font>
      <b/>
      <sz val="8"/>
      <color indexed="8"/>
      <name val="Helv"/>
    </font>
    <font>
      <sz val="24"/>
      <color indexed="13"/>
      <name val="Helv"/>
    </font>
    <font>
      <b/>
      <sz val="24"/>
      <name val="Times"/>
    </font>
    <font>
      <b/>
      <sz val="24"/>
      <name val="Times"/>
      <family val="1"/>
    </font>
    <font>
      <sz val="10"/>
      <name val="Arial"/>
      <family val="2"/>
    </font>
    <font>
      <sz val="10"/>
      <color theme="4"/>
      <name val="Calibri"/>
      <family val="2"/>
      <scheme val="minor"/>
    </font>
    <font>
      <sz val="10"/>
      <color theme="1" tint="0.249977111117893"/>
      <name val="Calibri"/>
      <family val="2"/>
      <scheme val="minor"/>
    </font>
    <font>
      <b/>
      <sz val="20"/>
      <name val="Calibri"/>
      <family val="2"/>
      <scheme val="minor"/>
    </font>
    <font>
      <b/>
      <sz val="16"/>
      <name val="Calibri"/>
      <family val="2"/>
      <scheme val="minor"/>
    </font>
    <font>
      <b/>
      <sz val="14"/>
      <color indexed="10"/>
      <name val="Calibri"/>
      <family val="2"/>
      <scheme val="minor"/>
    </font>
    <font>
      <sz val="14"/>
      <name val="Calibri"/>
      <family val="2"/>
      <scheme val="minor"/>
    </font>
    <font>
      <sz val="14"/>
      <name val="Arial"/>
      <family val="2"/>
    </font>
    <font>
      <b/>
      <sz val="12"/>
      <color indexed="10"/>
      <name val="Calibri"/>
      <family val="2"/>
      <scheme val="minor"/>
    </font>
    <font>
      <sz val="12"/>
      <color indexed="10"/>
      <name val="Calibri"/>
      <family val="2"/>
      <scheme val="minor"/>
    </font>
    <font>
      <sz val="12"/>
      <name val="Arial"/>
      <family val="2"/>
    </font>
    <font>
      <i/>
      <sz val="12"/>
      <name val="Calibri"/>
      <family val="2"/>
      <scheme val="minor"/>
    </font>
    <font>
      <sz val="12"/>
      <color theme="2" tint="-0.499984740745262"/>
      <name val="Calibri"/>
      <family val="2"/>
      <scheme val="minor"/>
    </font>
    <font>
      <sz val="12"/>
      <color theme="2" tint="-0.499984740745262"/>
      <name val="Arial"/>
      <family val="2"/>
    </font>
    <font>
      <sz val="12"/>
      <color theme="1"/>
      <name val="Calibri"/>
      <family val="2"/>
      <scheme val="minor"/>
    </font>
    <font>
      <sz val="12"/>
      <color theme="4"/>
      <name val="Calibri"/>
      <family val="2"/>
      <scheme val="minor"/>
    </font>
    <font>
      <sz val="12"/>
      <color rgb="FFFF0000"/>
      <name val="Calibri"/>
      <family val="2"/>
      <scheme val="minor"/>
    </font>
    <font>
      <sz val="10"/>
      <color rgb="FFFF0000"/>
      <name val="Calibri"/>
      <family val="2"/>
      <scheme val="minor"/>
    </font>
    <font>
      <sz val="10"/>
      <color rgb="FF0000FF"/>
      <name val="Calibri"/>
      <family val="2"/>
      <scheme val="minor"/>
    </font>
    <font>
      <i/>
      <sz val="11"/>
      <name val="Calibri"/>
      <family val="2"/>
      <scheme val="minor"/>
    </font>
    <font>
      <sz val="14"/>
      <color theme="1"/>
      <name val="Calibri"/>
      <family val="2"/>
      <scheme val="minor"/>
    </font>
    <font>
      <sz val="9"/>
      <color theme="1"/>
      <name val="Calibri"/>
      <family val="2"/>
      <scheme val="minor"/>
    </font>
    <font>
      <sz val="10"/>
      <color rgb="FFFF0000"/>
      <name val="Arial"/>
      <family val="2"/>
    </font>
    <font>
      <i/>
      <sz val="11"/>
      <color theme="1"/>
      <name val="Calibri"/>
      <family val="2"/>
      <scheme val="minor"/>
    </font>
    <font>
      <u/>
      <sz val="11"/>
      <name val="Calibri"/>
      <family val="2"/>
      <scheme val="minor"/>
    </font>
    <font>
      <sz val="14"/>
      <color theme="1"/>
      <name val="Calibri"/>
      <family val="2"/>
    </font>
    <font>
      <sz val="12"/>
      <color theme="1"/>
      <name val="Calibri"/>
      <family val="2"/>
    </font>
    <font>
      <i/>
      <sz val="8"/>
      <name val="Calibri"/>
      <family val="2"/>
      <scheme val="minor"/>
    </font>
    <font>
      <b/>
      <sz val="12"/>
      <color theme="0"/>
      <name val="Calibri"/>
      <family val="2"/>
      <scheme val="minor"/>
    </font>
    <font>
      <sz val="12"/>
      <color theme="0"/>
      <name val="Calibri"/>
      <family val="2"/>
      <scheme val="minor"/>
    </font>
    <font>
      <sz val="10"/>
      <color theme="0"/>
      <name val="Calibri"/>
      <family val="2"/>
      <scheme val="minor"/>
    </font>
    <font>
      <b/>
      <sz val="14"/>
      <color theme="0"/>
      <name val="Calibri"/>
      <family val="2"/>
      <scheme val="minor"/>
    </font>
    <font>
      <b/>
      <sz val="10"/>
      <color theme="0"/>
      <name val="Calibri"/>
      <family val="2"/>
      <scheme val="minor"/>
    </font>
  </fonts>
  <fills count="61">
    <fill>
      <patternFill patternType="none"/>
    </fill>
    <fill>
      <patternFill patternType="gray125"/>
    </fill>
    <fill>
      <patternFill patternType="lightGray"/>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indexed="22"/>
        <bgColor indexed="22"/>
      </patternFill>
    </fill>
    <fill>
      <patternFill patternType="solid">
        <fgColor indexed="9"/>
        <bgColor indexed="9"/>
      </patternFill>
    </fill>
    <fill>
      <patternFill patternType="solid">
        <fgColor indexed="26"/>
        <bgColor indexed="9"/>
      </patternFill>
    </fill>
    <fill>
      <patternFill patternType="solid">
        <fgColor indexed="42"/>
        <bgColor indexed="64"/>
      </patternFill>
    </fill>
    <fill>
      <patternFill patternType="lightGray">
        <fgColor indexed="8"/>
      </patternFill>
    </fill>
    <fill>
      <patternFill patternType="solid">
        <fgColor indexed="56"/>
        <bgColor indexed="64"/>
      </patternFill>
    </fill>
    <fill>
      <patternFill patternType="gray125">
        <fgColor indexed="23"/>
        <bgColor indexed="22"/>
      </patternFill>
    </fill>
    <fill>
      <patternFill patternType="solid">
        <fgColor indexed="13"/>
      </patternFill>
    </fill>
    <fill>
      <patternFill patternType="solid">
        <fgColor indexed="12"/>
      </patternFill>
    </fill>
    <fill>
      <patternFill patternType="solid">
        <fgColor rgb="FFFFFF00"/>
        <bgColor indexed="64"/>
      </patternFill>
    </fill>
    <fill>
      <patternFill patternType="solid">
        <fgColor theme="0" tint="-0.14999847407452621"/>
        <bgColor indexed="64"/>
      </patternFill>
    </fill>
    <fill>
      <patternFill patternType="solid">
        <fgColor rgb="FFF5F5F5"/>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theme="2" tint="-0.249977111117893"/>
        <bgColor indexed="64"/>
      </patternFill>
    </fill>
    <fill>
      <patternFill patternType="solid">
        <fgColor rgb="FF2A7050"/>
        <bgColor indexed="64"/>
      </patternFill>
    </fill>
    <fill>
      <patternFill patternType="solid">
        <fgColor rgb="FFE57724"/>
        <bgColor indexed="64"/>
      </patternFill>
    </fill>
    <fill>
      <patternFill patternType="solid">
        <fgColor rgb="FF4058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rgb="FFB8D9B1"/>
      </left>
      <right/>
      <top style="thin">
        <color rgb="FFB8D9B1"/>
      </top>
      <bottom/>
      <diagonal/>
    </border>
    <border>
      <left/>
      <right/>
      <top style="thin">
        <color rgb="FFB8D9B1"/>
      </top>
      <bottom/>
      <diagonal/>
    </border>
    <border>
      <left/>
      <right style="thin">
        <color rgb="FFB8D9B1"/>
      </right>
      <top style="thin">
        <color rgb="FFB8D9B1"/>
      </top>
      <bottom/>
      <diagonal/>
    </border>
    <border>
      <left style="thin">
        <color rgb="FFB8D9B1"/>
      </left>
      <right/>
      <top/>
      <bottom/>
      <diagonal/>
    </border>
    <border>
      <left/>
      <right style="thin">
        <color rgb="FFB8D9B1"/>
      </right>
      <top/>
      <bottom/>
      <diagonal/>
    </border>
    <border>
      <left style="thin">
        <color rgb="FFB8D9B1"/>
      </left>
      <right/>
      <top/>
      <bottom style="thin">
        <color rgb="FFB8D9B1"/>
      </bottom>
      <diagonal/>
    </border>
    <border>
      <left/>
      <right/>
      <top/>
      <bottom style="thin">
        <color rgb="FFB8D9B1"/>
      </bottom>
      <diagonal/>
    </border>
    <border>
      <left/>
      <right style="thin">
        <color rgb="FFB8D9B1"/>
      </right>
      <top/>
      <bottom style="thin">
        <color rgb="FFB8D9B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6795556505021"/>
      </right>
      <top/>
      <bottom/>
      <diagonal/>
    </border>
    <border>
      <left style="thin">
        <color theme="0" tint="-0.14996795556505021"/>
      </left>
      <right/>
      <top/>
      <bottom/>
      <diagonal/>
    </border>
    <border>
      <left style="medium">
        <color theme="0" tint="-0.14993743705557422"/>
      </left>
      <right/>
      <top/>
      <bottom/>
      <diagonal/>
    </border>
    <border>
      <left style="medium">
        <color theme="0" tint="-0.14996795556505021"/>
      </left>
      <right/>
      <top/>
      <bottom/>
      <diagonal/>
    </border>
    <border>
      <left style="medium">
        <color theme="0" tint="-0.14996795556505021"/>
      </left>
      <right style="medium">
        <color theme="0" tint="-0.14993743705557422"/>
      </right>
      <top/>
      <bottom/>
      <diagonal/>
    </border>
    <border>
      <left/>
      <right style="medium">
        <color theme="0" tint="-0.14993743705557422"/>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89">
    <xf numFmtId="0" fontId="0" fillId="0" borderId="0"/>
    <xf numFmtId="14" fontId="6" fillId="2" borderId="0" applyFill="0" applyBorder="0" applyProtection="0">
      <alignment horizontal="right"/>
    </xf>
    <xf numFmtId="165" fontId="5"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alignment vertical="top"/>
      <protection locked="0"/>
    </xf>
    <xf numFmtId="10" fontId="7" fillId="4" borderId="1" applyNumberFormat="0" applyBorder="0" applyAlignment="0" applyProtection="0"/>
    <xf numFmtId="166" fontId="9" fillId="0" borderId="0"/>
    <xf numFmtId="0" fontId="17" fillId="0" borderId="0"/>
    <xf numFmtId="1" fontId="10" fillId="0" borderId="0" applyFill="0" applyBorder="0" applyProtection="0"/>
    <xf numFmtId="10" fontId="5"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5" borderId="0" applyNumberFormat="0" applyFont="0" applyBorder="0" applyAlignment="0" applyProtection="0"/>
    <xf numFmtId="0" fontId="4" fillId="0" borderId="0"/>
    <xf numFmtId="0" fontId="52" fillId="0" borderId="0"/>
    <xf numFmtId="10" fontId="55" fillId="3" borderId="1"/>
    <xf numFmtId="169" fontId="11" fillId="0" borderId="0"/>
    <xf numFmtId="170" fontId="11" fillId="0" borderId="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40"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0" fontId="56" fillId="42" borderId="0" applyNumberFormat="0" applyBorder="0">
      <protection locked="0"/>
    </xf>
    <xf numFmtId="0" fontId="24" fillId="11" borderId="0" applyNumberFormat="0" applyBorder="0" applyAlignment="0" applyProtection="0"/>
    <xf numFmtId="3" fontId="5" fillId="43" borderId="0" applyNumberFormat="0"/>
    <xf numFmtId="0" fontId="57"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171" fontId="59" fillId="0" borderId="0" applyFill="0" applyBorder="0" applyAlignment="0"/>
    <xf numFmtId="171" fontId="59" fillId="0" borderId="0" applyFill="0" applyBorder="0" applyAlignment="0"/>
    <xf numFmtId="0" fontId="28" fillId="14" borderId="13" applyNumberFormat="0" applyAlignment="0" applyProtection="0"/>
    <xf numFmtId="0" fontId="30" fillId="15" borderId="16" applyNumberFormat="0" applyAlignment="0" applyProtection="0"/>
    <xf numFmtId="0" fontId="60" fillId="0" borderId="19">
      <alignment horizontal="centerContinuous"/>
    </xf>
    <xf numFmtId="38" fontId="5" fillId="43" borderId="0" applyFont="0" applyFill="0" applyBorder="0" applyAlignment="0" applyProtection="0"/>
    <xf numFmtId="40" fontId="5" fillId="43" borderId="0" applyFont="0" applyFill="0" applyBorder="0" applyAlignment="0" applyProtection="0"/>
    <xf numFmtId="172" fontId="61" fillId="0" borderId="0" applyFont="0" applyFill="0" applyBorder="0" applyAlignment="0" applyProtection="0"/>
    <xf numFmtId="3" fontId="62" fillId="0" borderId="0" applyFont="0" applyFill="0" applyBorder="0" applyAlignment="0" applyProtection="0"/>
    <xf numFmtId="0" fontId="63" fillId="0" borderId="0"/>
    <xf numFmtId="0" fontId="64" fillId="0" borderId="0" applyNumberFormat="0" applyAlignment="0">
      <alignment horizontal="left"/>
    </xf>
    <xf numFmtId="0" fontId="65" fillId="0" borderId="0"/>
    <xf numFmtId="0" fontId="63" fillId="0" borderId="0"/>
    <xf numFmtId="6" fontId="5" fillId="43" borderId="0" applyFont="0" applyFill="0" applyBorder="0" applyAlignment="0" applyProtection="0"/>
    <xf numFmtId="8" fontId="5" fillId="43" borderId="0" applyFont="0" applyFill="0" applyBorder="0" applyAlignment="0" applyProtection="0"/>
    <xf numFmtId="44" fontId="5" fillId="0" borderId="0" applyFont="0" applyFill="0" applyBorder="0" applyAlignment="0" applyProtection="0"/>
    <xf numFmtId="173" fontId="62" fillId="0" borderId="0" applyFont="0" applyFill="0" applyBorder="0" applyAlignment="0" applyProtection="0"/>
    <xf numFmtId="0" fontId="65" fillId="0" borderId="0"/>
    <xf numFmtId="0" fontId="65" fillId="0" borderId="0"/>
    <xf numFmtId="3" fontId="5" fillId="44" borderId="0" applyNumberFormat="0" applyFont="0" applyBorder="0" applyAlignment="0">
      <protection locked="0"/>
    </xf>
    <xf numFmtId="0" fontId="65" fillId="0" borderId="20"/>
    <xf numFmtId="0" fontId="65" fillId="0" borderId="0"/>
    <xf numFmtId="6" fontId="66" fillId="0" borderId="0"/>
    <xf numFmtId="0" fontId="67" fillId="45" borderId="21" applyNumberFormat="0" applyFont="0" applyBorder="0" applyAlignment="0">
      <protection locked="0"/>
    </xf>
    <xf numFmtId="0" fontId="68" fillId="0" borderId="0" applyNumberFormat="0" applyAlignment="0">
      <alignment horizontal="left"/>
    </xf>
    <xf numFmtId="165" fontId="5" fillId="0" borderId="0" applyFont="0" applyFill="0" applyBorder="0" applyAlignment="0" applyProtection="0"/>
    <xf numFmtId="0" fontId="32" fillId="0" borderId="0" applyNumberFormat="0" applyFill="0" applyBorder="0" applyAlignment="0" applyProtection="0"/>
    <xf numFmtId="0" fontId="5" fillId="0" borderId="0"/>
    <xf numFmtId="43" fontId="5" fillId="0" borderId="0" applyBorder="0"/>
    <xf numFmtId="41" fontId="5" fillId="0" borderId="0" applyBorder="0"/>
    <xf numFmtId="44" fontId="5" fillId="0" borderId="0" applyBorder="0"/>
    <xf numFmtId="42" fontId="5" fillId="0" borderId="0" applyBorder="0"/>
    <xf numFmtId="0" fontId="69" fillId="0" borderId="0" applyNumberFormat="0" applyBorder="0" applyAlignment="0" applyProtection="0"/>
    <xf numFmtId="0" fontId="70" fillId="0" borderId="0" applyNumberFormat="0" applyBorder="0" applyAlignment="0" applyProtection="0"/>
    <xf numFmtId="9" fontId="5" fillId="0" borderId="0" applyBorder="0"/>
    <xf numFmtId="2" fontId="62" fillId="0" borderId="0" applyFont="0" applyFill="0" applyBorder="0" applyAlignment="0" applyProtection="0"/>
    <xf numFmtId="174" fontId="63" fillId="0" borderId="0" applyFont="0" applyFill="0" applyBorder="0" applyAlignment="0" applyProtection="0"/>
    <xf numFmtId="0" fontId="63" fillId="0" borderId="0"/>
    <xf numFmtId="0" fontId="63" fillId="0" borderId="0"/>
    <xf numFmtId="0" fontId="23" fillId="10" borderId="0" applyNumberFormat="0" applyBorder="0" applyAlignment="0" applyProtection="0"/>
    <xf numFmtId="0" fontId="71" fillId="0" borderId="0" applyNumberFormat="0" applyFill="0" applyBorder="0"/>
    <xf numFmtId="0" fontId="72" fillId="0" borderId="0" applyNumberFormat="0" applyFill="0" applyBorder="0"/>
    <xf numFmtId="38" fontId="7" fillId="3" borderId="0" applyNumberFormat="0" applyBorder="0" applyAlignment="0" applyProtection="0"/>
    <xf numFmtId="0" fontId="14" fillId="7" borderId="0" applyNumberFormat="0" applyFont="0" applyFill="0" applyBorder="0" applyAlignment="0">
      <alignment horizontal="left" vertical="center"/>
    </xf>
    <xf numFmtId="175" fontId="73" fillId="0" borderId="0" applyFill="0" applyBorder="0" applyAlignment="0" applyProtection="0"/>
    <xf numFmtId="175" fontId="74" fillId="0" borderId="0" applyFill="0" applyBorder="0" applyAlignment="0" applyProtection="0"/>
    <xf numFmtId="176" fontId="75" fillId="46" borderId="22"/>
    <xf numFmtId="0" fontId="15" fillId="0" borderId="23" applyNumberFormat="0" applyAlignment="0" applyProtection="0">
      <alignment horizontal="left" vertical="center"/>
    </xf>
    <xf numFmtId="0" fontId="15" fillId="0" borderId="24">
      <alignment horizontal="left" vertical="center"/>
    </xf>
    <xf numFmtId="0" fontId="76" fillId="47" borderId="0" applyBorder="0" applyAlignment="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10" fontId="7" fillId="4" borderId="1" applyNumberFormat="0" applyBorder="0" applyAlignment="0" applyProtection="0"/>
    <xf numFmtId="0" fontId="26" fillId="13" borderId="13" applyNumberFormat="0" applyAlignment="0" applyProtection="0"/>
    <xf numFmtId="0" fontId="26" fillId="13" borderId="13" applyNumberFormat="0" applyAlignment="0" applyProtection="0"/>
    <xf numFmtId="0" fontId="77" fillId="48" borderId="0" applyNumberFormat="0" applyBorder="0" applyAlignment="0" applyProtection="0"/>
    <xf numFmtId="177" fontId="78" fillId="0" borderId="25" applyNumberFormat="0" applyFont="0" applyBorder="0" applyAlignment="0">
      <alignment horizontal="left"/>
    </xf>
    <xf numFmtId="0" fontId="65" fillId="0" borderId="0"/>
    <xf numFmtId="0" fontId="79" fillId="49" borderId="20"/>
    <xf numFmtId="49" fontId="60" fillId="0" borderId="0" applyFill="0" applyBorder="0" applyProtection="0"/>
    <xf numFmtId="178" fontId="60" fillId="0" borderId="0" applyFill="0" applyBorder="0" applyProtection="0"/>
    <xf numFmtId="179" fontId="60" fillId="0" borderId="0" applyFill="0" applyBorder="0" applyProtection="0"/>
    <xf numFmtId="0" fontId="29" fillId="0" borderId="15" applyNumberFormat="0" applyFill="0" applyAlignment="0" applyProtection="0"/>
    <xf numFmtId="180" fontId="5" fillId="0" borderId="0"/>
    <xf numFmtId="180" fontId="5" fillId="0" borderId="0"/>
    <xf numFmtId="0" fontId="25" fillId="12" borderId="0" applyNumberFormat="0" applyBorder="0" applyAlignment="0" applyProtection="0"/>
    <xf numFmtId="37" fontId="80" fillId="0" borderId="0"/>
    <xf numFmtId="0" fontId="81" fillId="0" borderId="0"/>
    <xf numFmtId="0" fontId="5" fillId="0" borderId="0"/>
    <xf numFmtId="0" fontId="82" fillId="0" borderId="0"/>
    <xf numFmtId="0" fontId="5" fillId="0" borderId="0"/>
    <xf numFmtId="0" fontId="5" fillId="0" borderId="0"/>
    <xf numFmtId="0" fontId="4" fillId="0" borderId="0"/>
    <xf numFmtId="0" fontId="4" fillId="0" borderId="0"/>
    <xf numFmtId="0" fontId="4" fillId="0" borderId="0"/>
    <xf numFmtId="0" fontId="52" fillId="0" borderId="0"/>
    <xf numFmtId="0" fontId="5" fillId="0" borderId="0"/>
    <xf numFmtId="0" fontId="4" fillId="16" borderId="17" applyNumberFormat="0" applyFont="0" applyAlignment="0" applyProtection="0"/>
    <xf numFmtId="1" fontId="83" fillId="0" borderId="0" applyFill="0" applyBorder="0" applyProtection="0"/>
    <xf numFmtId="0" fontId="27" fillId="14" borderId="14" applyNumberFormat="0" applyAlignment="0" applyProtection="0"/>
    <xf numFmtId="0" fontId="63" fillId="0" borderId="0"/>
    <xf numFmtId="10" fontId="5" fillId="0" borderId="0" applyFont="0" applyFill="0" applyBorder="0" applyAlignment="0" applyProtection="0"/>
    <xf numFmtId="9" fontId="5" fillId="43" borderId="0" applyFont="0" applyFill="0" applyBorder="0" applyAlignment="0" applyProtection="0"/>
    <xf numFmtId="10" fontId="5" fillId="43" borderId="0" applyFont="0" applyFill="0" applyBorder="0" applyAlignment="0" applyProtection="0"/>
    <xf numFmtId="9" fontId="5" fillId="0" borderId="0" applyFont="0" applyFill="0" applyBorder="0" applyAlignment="0" applyProtection="0"/>
    <xf numFmtId="9" fontId="5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4" fillId="0" borderId="0" applyNumberFormat="0" applyFill="0" applyBorder="0" applyProtection="0">
      <alignment horizontal="right"/>
    </xf>
    <xf numFmtId="0" fontId="85" fillId="0" borderId="0" applyNumberFormat="0" applyFill="0" applyBorder="0" applyProtection="0">
      <alignment horizontal="right"/>
    </xf>
    <xf numFmtId="0" fontId="85" fillId="0" borderId="0" applyNumberFormat="0" applyFill="0" applyBorder="0" applyProtection="0">
      <alignment horizontal="right"/>
    </xf>
    <xf numFmtId="0" fontId="86" fillId="0" borderId="0" applyNumberFormat="0" applyFill="0" applyBorder="0" applyProtection="0">
      <alignment horizontal="right"/>
    </xf>
    <xf numFmtId="0" fontId="87" fillId="0" borderId="0" applyNumberFormat="0" applyFill="0" applyBorder="0" applyProtection="0">
      <alignment horizontal="right"/>
    </xf>
    <xf numFmtId="0" fontId="87" fillId="0" borderId="0" applyNumberFormat="0" applyFill="0" applyBorder="0" applyProtection="0">
      <alignment horizontal="right"/>
    </xf>
    <xf numFmtId="0" fontId="8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7" fillId="0" borderId="0" applyBorder="0"/>
    <xf numFmtId="0" fontId="65" fillId="0" borderId="0"/>
    <xf numFmtId="0" fontId="65" fillId="0" borderId="0"/>
    <xf numFmtId="181" fontId="6" fillId="0" borderId="0" applyNumberFormat="0" applyFill="0" applyBorder="0" applyAlignment="0" applyProtection="0">
      <alignment horizontal="left"/>
    </xf>
    <xf numFmtId="38" fontId="7" fillId="0" borderId="0"/>
    <xf numFmtId="38" fontId="7" fillId="0" borderId="0"/>
    <xf numFmtId="38" fontId="7" fillId="0" borderId="0"/>
    <xf numFmtId="38" fontId="7" fillId="0" borderId="0"/>
    <xf numFmtId="0" fontId="5" fillId="0" borderId="0"/>
    <xf numFmtId="0" fontId="5" fillId="0" borderId="0"/>
    <xf numFmtId="0" fontId="90" fillId="0" borderId="0" applyFont="0" applyAlignment="0">
      <alignment horizontal="centerContinuous"/>
    </xf>
    <xf numFmtId="0" fontId="91" fillId="0" borderId="0">
      <alignment horizontal="center"/>
    </xf>
    <xf numFmtId="40" fontId="92" fillId="0" borderId="0" applyBorder="0">
      <alignment horizontal="right"/>
    </xf>
    <xf numFmtId="0" fontId="65" fillId="0" borderId="20"/>
    <xf numFmtId="0" fontId="65" fillId="0" borderId="0"/>
    <xf numFmtId="49" fontId="5" fillId="0" borderId="0"/>
    <xf numFmtId="49" fontId="5" fillId="0" borderId="0"/>
    <xf numFmtId="182" fontId="5" fillId="0" borderId="0"/>
    <xf numFmtId="0" fontId="93" fillId="50" borderId="0"/>
    <xf numFmtId="0" fontId="65" fillId="0" borderId="0"/>
    <xf numFmtId="0" fontId="19" fillId="0" borderId="0" applyNumberFormat="0" applyFill="0" applyBorder="0" applyAlignment="0" applyProtection="0"/>
    <xf numFmtId="0" fontId="19"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33" fillId="0" borderId="18" applyNumberFormat="0" applyFill="0" applyAlignment="0" applyProtection="0"/>
    <xf numFmtId="0" fontId="65" fillId="0" borderId="0"/>
    <xf numFmtId="0" fontId="79" fillId="0" borderId="26"/>
    <xf numFmtId="0" fontId="65" fillId="0" borderId="0"/>
    <xf numFmtId="0" fontId="79" fillId="0" borderId="20"/>
    <xf numFmtId="0" fontId="31" fillId="0" borderId="0" applyNumberFormat="0" applyFill="0" applyBorder="0" applyAlignment="0" applyProtection="0"/>
    <xf numFmtId="9" fontId="96" fillId="0" borderId="0" applyFont="0" applyFill="0" applyBorder="0" applyAlignment="0" applyProtection="0"/>
    <xf numFmtId="43" fontId="5" fillId="0" borderId="0" applyFont="0" applyFill="0" applyBorder="0" applyAlignment="0" applyProtection="0"/>
    <xf numFmtId="0" fontId="3" fillId="0" borderId="0"/>
    <xf numFmtId="168" fontId="4" fillId="0" borderId="37" applyBorder="0" applyProtection="0">
      <alignment horizontal="right" indent="1"/>
    </xf>
    <xf numFmtId="0" fontId="53" fillId="41" borderId="38" applyNumberFormat="0" applyAlignment="0" applyProtection="0">
      <alignment horizontal="left"/>
    </xf>
    <xf numFmtId="0" fontId="54" fillId="0" borderId="0" applyNumberFormat="0" applyProtection="0"/>
    <xf numFmtId="0" fontId="2" fillId="0" borderId="0"/>
  </cellStyleXfs>
  <cellXfs count="273">
    <xf numFmtId="0" fontId="0" fillId="0" borderId="0" xfId="0"/>
    <xf numFmtId="0" fontId="35" fillId="6" borderId="0" xfId="0" applyFont="1" applyFill="1" applyAlignment="1" applyProtection="1">
      <alignment vertical="center"/>
    </xf>
    <xf numFmtId="0" fontId="35" fillId="6" borderId="0" xfId="0" applyFont="1" applyFill="1" applyAlignment="1" applyProtection="1">
      <alignment vertical="center" wrapText="1"/>
    </xf>
    <xf numFmtId="0" fontId="35" fillId="6" borderId="0" xfId="0" applyFont="1" applyFill="1" applyAlignment="1" applyProtection="1">
      <alignment horizontal="center" vertical="center"/>
    </xf>
    <xf numFmtId="0" fontId="35" fillId="7" borderId="0" xfId="0" applyFont="1" applyFill="1" applyBorder="1" applyAlignment="1" applyProtection="1">
      <alignment vertical="center"/>
    </xf>
    <xf numFmtId="0" fontId="35" fillId="3" borderId="0" xfId="0" applyFont="1" applyFill="1" applyBorder="1" applyAlignment="1" applyProtection="1">
      <alignment horizontal="center" vertical="center"/>
    </xf>
    <xf numFmtId="0" fontId="35" fillId="3" borderId="0" xfId="0" applyFont="1" applyFill="1" applyBorder="1" applyAlignment="1" applyProtection="1">
      <alignment vertical="center"/>
    </xf>
    <xf numFmtId="0" fontId="36" fillId="3" borderId="0" xfId="0" quotePrefix="1" applyFont="1" applyFill="1" applyBorder="1" applyAlignment="1" applyProtection="1">
      <alignment horizontal="center" vertical="top"/>
    </xf>
    <xf numFmtId="0" fontId="36" fillId="3" borderId="0" xfId="0" applyFont="1" applyFill="1" applyBorder="1" applyAlignment="1" applyProtection="1">
      <alignment vertical="top" wrapText="1"/>
    </xf>
    <xf numFmtId="0" fontId="35" fillId="3" borderId="0" xfId="0" applyFont="1" applyFill="1" applyBorder="1" applyAlignment="1" applyProtection="1">
      <alignment vertical="center" wrapText="1"/>
    </xf>
    <xf numFmtId="0" fontId="35" fillId="6" borderId="0" xfId="0" applyFont="1" applyFill="1" applyAlignment="1" applyProtection="1">
      <alignment horizontal="center" vertical="center"/>
      <protection hidden="1"/>
    </xf>
    <xf numFmtId="0" fontId="35" fillId="7" borderId="0" xfId="0" applyFont="1" applyFill="1" applyBorder="1" applyAlignment="1" applyProtection="1">
      <alignment horizontal="center" vertical="center"/>
    </xf>
    <xf numFmtId="0" fontId="39" fillId="7" borderId="0" xfId="0" applyFont="1" applyFill="1" applyBorder="1" applyAlignment="1" applyProtection="1">
      <alignment vertical="center"/>
      <protection hidden="1"/>
    </xf>
    <xf numFmtId="0" fontId="35" fillId="3" borderId="0" xfId="0" applyFont="1" applyFill="1" applyBorder="1" applyAlignment="1" applyProtection="1">
      <alignment horizontal="center" vertical="center" wrapText="1"/>
    </xf>
    <xf numFmtId="0" fontId="46" fillId="3" borderId="0" xfId="0" applyFont="1" applyFill="1" applyBorder="1" applyAlignment="1" applyProtection="1">
      <alignment horizontal="centerContinuous" vertical="center" wrapText="1"/>
    </xf>
    <xf numFmtId="0" fontId="37" fillId="3" borderId="0" xfId="0" applyFont="1" applyFill="1" applyBorder="1" applyAlignment="1" applyProtection="1">
      <alignment horizontal="centerContinuous" vertical="center" wrapText="1"/>
    </xf>
    <xf numFmtId="0" fontId="39" fillId="3" borderId="0" xfId="0" applyFont="1" applyFill="1" applyBorder="1" applyAlignment="1" applyProtection="1">
      <alignment horizontal="left" vertical="center" wrapText="1"/>
    </xf>
    <xf numFmtId="0" fontId="35" fillId="3" borderId="0" xfId="0" applyFont="1" applyFill="1" applyBorder="1" applyAlignment="1" applyProtection="1">
      <alignment horizontal="right" vertical="center" indent="1"/>
    </xf>
    <xf numFmtId="0" fontId="47" fillId="7" borderId="0" xfId="4" applyFont="1" applyFill="1" applyBorder="1" applyAlignment="1" applyProtection="1">
      <alignment vertical="center"/>
    </xf>
    <xf numFmtId="0" fontId="39" fillId="3" borderId="0" xfId="0" applyFont="1" applyFill="1" applyBorder="1" applyAlignment="1" applyProtection="1">
      <alignment vertical="center" wrapText="1"/>
    </xf>
    <xf numFmtId="0" fontId="48" fillId="3" borderId="0" xfId="4" applyFont="1" applyFill="1" applyBorder="1" applyAlignment="1" applyProtection="1">
      <alignment horizontal="centerContinuous" vertical="center" wrapText="1"/>
    </xf>
    <xf numFmtId="0" fontId="35" fillId="7" borderId="0" xfId="0" applyFont="1" applyFill="1" applyBorder="1" applyAlignment="1" applyProtection="1">
      <alignment horizontal="right" vertical="center" wrapText="1" indent="1"/>
    </xf>
    <xf numFmtId="164" fontId="35" fillId="7" borderId="0" xfId="0" applyNumberFormat="1" applyFont="1" applyFill="1" applyBorder="1" applyAlignment="1" applyProtection="1">
      <alignment horizontal="center" vertical="center"/>
    </xf>
    <xf numFmtId="0" fontId="35" fillId="7" borderId="0" xfId="0" applyFont="1" applyFill="1" applyBorder="1" applyAlignment="1" applyProtection="1">
      <alignment horizontal="left" vertical="center" wrapText="1" indent="2"/>
    </xf>
    <xf numFmtId="0" fontId="40" fillId="6" borderId="0" xfId="0" applyFont="1" applyFill="1" applyAlignment="1" applyProtection="1">
      <alignment horizontal="centerContinuous" vertical="center"/>
    </xf>
    <xf numFmtId="0" fontId="35" fillId="6" borderId="0" xfId="0" applyFont="1" applyFill="1" applyAlignment="1" applyProtection="1">
      <alignment horizontal="centerContinuous" vertical="center"/>
    </xf>
    <xf numFmtId="0" fontId="50" fillId="6" borderId="0" xfId="0" applyFont="1" applyFill="1" applyAlignment="1" applyProtection="1">
      <alignment vertical="center" wrapText="1"/>
    </xf>
    <xf numFmtId="5" fontId="35" fillId="6" borderId="0" xfId="0" applyNumberFormat="1" applyFont="1" applyFill="1" applyAlignment="1" applyProtection="1">
      <alignment horizontal="center" vertical="center"/>
    </xf>
    <xf numFmtId="164" fontId="35" fillId="6" borderId="0" xfId="0" applyNumberFormat="1" applyFont="1" applyFill="1" applyAlignment="1" applyProtection="1">
      <alignment horizontal="center" vertical="center"/>
    </xf>
    <xf numFmtId="0" fontId="35" fillId="0" borderId="0" xfId="0" applyFont="1"/>
    <xf numFmtId="0" fontId="35" fillId="0" borderId="0" xfId="0" applyFont="1" applyFill="1" applyAlignment="1" applyProtection="1">
      <alignment vertical="center" wrapText="1"/>
    </xf>
    <xf numFmtId="0" fontId="35" fillId="0" borderId="0" xfId="0" applyFont="1" applyFill="1" applyAlignment="1" applyProtection="1">
      <alignment vertical="center"/>
      <protection hidden="1"/>
    </xf>
    <xf numFmtId="0" fontId="35" fillId="0" borderId="0" xfId="0" applyFont="1" applyFill="1" applyAlignment="1" applyProtection="1">
      <alignment vertical="center"/>
    </xf>
    <xf numFmtId="0" fontId="35" fillId="0" borderId="0" xfId="0" applyFont="1" applyFill="1" applyAlignment="1" applyProtection="1">
      <alignment horizontal="center" vertical="center"/>
      <protection hidden="1"/>
    </xf>
    <xf numFmtId="0" fontId="49" fillId="53" borderId="0" xfId="0" applyFont="1" applyFill="1" applyBorder="1" applyAlignment="1" applyProtection="1">
      <alignment vertical="center"/>
      <protection hidden="1"/>
    </xf>
    <xf numFmtId="0" fontId="35" fillId="0" borderId="0" xfId="0" applyFont="1" applyFill="1"/>
    <xf numFmtId="0" fontId="36" fillId="0" borderId="0" xfId="0" applyFont="1" applyBorder="1" applyAlignment="1">
      <alignment vertical="center"/>
    </xf>
    <xf numFmtId="0" fontId="35" fillId="0" borderId="0" xfId="0" applyFont="1" applyBorder="1" applyAlignment="1">
      <alignment vertical="center"/>
    </xf>
    <xf numFmtId="0" fontId="37" fillId="0" borderId="0" xfId="0" applyFont="1" applyBorder="1" applyAlignment="1">
      <alignment vertical="center"/>
    </xf>
    <xf numFmtId="0" fontId="97" fillId="0" borderId="0" xfId="0" applyFont="1" applyBorder="1" applyAlignment="1">
      <alignment vertical="center"/>
    </xf>
    <xf numFmtId="0" fontId="35" fillId="0" borderId="0" xfId="0" applyFont="1" applyBorder="1" applyAlignment="1">
      <alignment horizontal="left" vertical="center" indent="1"/>
    </xf>
    <xf numFmtId="164" fontId="35" fillId="0" borderId="0" xfId="0" applyNumberFormat="1" applyFont="1" applyBorder="1" applyAlignment="1">
      <alignment horizontal="left" vertical="center"/>
    </xf>
    <xf numFmtId="0" fontId="37" fillId="0" borderId="0" xfId="0" applyFont="1" applyBorder="1" applyAlignment="1">
      <alignment horizontal="left" vertical="center"/>
    </xf>
    <xf numFmtId="0" fontId="97" fillId="0" borderId="0" xfId="0" applyFont="1" applyFill="1" applyBorder="1" applyAlignment="1">
      <alignment vertical="center"/>
    </xf>
    <xf numFmtId="0" fontId="35" fillId="0" borderId="0" xfId="0" applyFont="1" applyFill="1" applyBorder="1" applyAlignment="1">
      <alignment vertical="center"/>
    </xf>
    <xf numFmtId="164" fontId="97" fillId="0" borderId="0" xfId="0" applyNumberFormat="1" applyFont="1" applyFill="1" applyBorder="1" applyAlignment="1">
      <alignment horizontal="left" vertical="center"/>
    </xf>
    <xf numFmtId="9" fontId="97" fillId="0" borderId="0" xfId="0" applyNumberFormat="1" applyFont="1" applyFill="1" applyBorder="1" applyAlignment="1">
      <alignment horizontal="left" vertical="center"/>
    </xf>
    <xf numFmtId="0" fontId="35" fillId="0" borderId="0" xfId="0" applyFont="1" applyFill="1" applyBorder="1" applyAlignment="1">
      <alignment horizontal="left" vertical="center" indent="1"/>
    </xf>
    <xf numFmtId="0" fontId="97" fillId="0" borderId="0" xfId="0" applyNumberFormat="1" applyFont="1" applyFill="1" applyBorder="1" applyAlignment="1">
      <alignment horizontal="left" vertical="center"/>
    </xf>
    <xf numFmtId="0" fontId="37" fillId="0" borderId="0" xfId="0" applyFont="1" applyFill="1" applyBorder="1" applyAlignment="1">
      <alignment horizontal="left" vertical="center"/>
    </xf>
    <xf numFmtId="0" fontId="35" fillId="0" borderId="0" xfId="0" applyFont="1" applyBorder="1" applyAlignment="1">
      <alignment horizontal="left" vertical="center" indent="2"/>
    </xf>
    <xf numFmtId="1" fontId="97" fillId="0" borderId="0" xfId="0" applyNumberFormat="1" applyFont="1" applyFill="1" applyBorder="1" applyAlignment="1">
      <alignment horizontal="left" vertical="center"/>
    </xf>
    <xf numFmtId="0" fontId="98" fillId="0" borderId="0" xfId="0" applyFont="1" applyBorder="1" applyAlignment="1">
      <alignment horizontal="left" vertical="center" indent="2"/>
    </xf>
    <xf numFmtId="0" fontId="97" fillId="0" borderId="0" xfId="0" applyNumberFormat="1" applyFont="1" applyFill="1" applyBorder="1" applyAlignment="1">
      <alignment horizontal="left" vertical="center" indent="1"/>
    </xf>
    <xf numFmtId="0" fontId="97" fillId="0" borderId="0" xfId="0" applyFont="1" applyBorder="1" applyAlignment="1">
      <alignment horizontal="left" vertical="center"/>
    </xf>
    <xf numFmtId="167" fontId="97" fillId="0" borderId="0" xfId="0" applyNumberFormat="1" applyFont="1" applyFill="1" applyBorder="1" applyAlignment="1">
      <alignment horizontal="left" vertical="center"/>
    </xf>
    <xf numFmtId="0" fontId="99" fillId="0" borderId="19" xfId="0" applyFont="1" applyFill="1" applyBorder="1" applyAlignment="1">
      <alignment vertical="center"/>
    </xf>
    <xf numFmtId="0" fontId="35" fillId="0" borderId="19" xfId="0" applyFont="1" applyFill="1" applyBorder="1" applyAlignment="1">
      <alignment vertical="center"/>
    </xf>
    <xf numFmtId="0" fontId="35" fillId="0" borderId="19" xfId="0" applyFont="1" applyFill="1" applyBorder="1" applyAlignment="1">
      <alignment horizontal="center" vertical="center"/>
    </xf>
    <xf numFmtId="0" fontId="99" fillId="0" borderId="0" xfId="0" applyFont="1" applyFill="1" applyBorder="1" applyAlignment="1">
      <alignment vertical="center"/>
    </xf>
    <xf numFmtId="0" fontId="100" fillId="0" borderId="0" xfId="0" applyFont="1" applyFill="1" applyBorder="1" applyAlignment="1">
      <alignment vertical="center"/>
    </xf>
    <xf numFmtId="0" fontId="101" fillId="0" borderId="0" xfId="0" applyFont="1" applyFill="1" applyBorder="1" applyAlignment="1">
      <alignment horizontal="centerContinuous" vertical="center"/>
    </xf>
    <xf numFmtId="0" fontId="102" fillId="0" borderId="0" xfId="0" applyFont="1" applyFill="1" applyBorder="1" applyAlignment="1">
      <alignment horizontal="centerContinuous" vertical="center"/>
    </xf>
    <xf numFmtId="164" fontId="102" fillId="0" borderId="0" xfId="0" applyNumberFormat="1" applyFont="1" applyFill="1" applyBorder="1" applyAlignment="1">
      <alignment horizontal="centerContinuous" vertical="center"/>
    </xf>
    <xf numFmtId="0" fontId="102" fillId="0" borderId="0" xfId="0" applyFont="1" applyFill="1" applyBorder="1" applyAlignment="1">
      <alignment vertical="center"/>
    </xf>
    <xf numFmtId="0" fontId="103" fillId="0" borderId="0" xfId="0" applyFont="1"/>
    <xf numFmtId="0" fontId="18" fillId="0" borderId="0" xfId="0" applyFont="1" applyFill="1" applyBorder="1" applyAlignment="1">
      <alignment vertical="center"/>
    </xf>
    <xf numFmtId="0" fontId="104" fillId="0" borderId="0" xfId="0" applyFont="1" applyFill="1" applyBorder="1" applyAlignment="1">
      <alignment horizontal="centerContinuous" vertical="center"/>
    </xf>
    <xf numFmtId="0" fontId="104" fillId="54" borderId="0" xfId="0" applyFont="1" applyFill="1" applyBorder="1" applyAlignment="1">
      <alignment horizontal="centerContinuous" vertical="center"/>
    </xf>
    <xf numFmtId="0" fontId="105" fillId="0" borderId="0" xfId="0" applyFont="1" applyFill="1" applyBorder="1" applyAlignment="1">
      <alignment vertical="center"/>
    </xf>
    <xf numFmtId="0" fontId="104" fillId="55" borderId="0" xfId="0" applyFont="1" applyFill="1" applyBorder="1" applyAlignment="1">
      <alignment horizontal="centerContinuous" vertical="center"/>
    </xf>
    <xf numFmtId="0" fontId="105" fillId="0" borderId="0" xfId="0" applyFont="1" applyBorder="1" applyAlignment="1">
      <alignment vertical="center"/>
    </xf>
    <xf numFmtId="0" fontId="18" fillId="8" borderId="0" xfId="0" applyFont="1" applyFill="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alignment horizontal="centerContinuous" vertical="center"/>
    </xf>
    <xf numFmtId="0" fontId="106" fillId="0" borderId="0" xfId="0" applyFont="1" applyAlignment="1">
      <alignment horizontal="center"/>
    </xf>
    <xf numFmtId="0" fontId="107" fillId="52" borderId="0" xfId="0" applyFont="1" applyFill="1" applyBorder="1" applyAlignment="1">
      <alignment horizontal="center" vertical="center"/>
    </xf>
    <xf numFmtId="0" fontId="107" fillId="7" borderId="0" xfId="0" applyFont="1" applyFill="1" applyBorder="1" applyAlignment="1">
      <alignment horizontal="center" vertical="center"/>
    </xf>
    <xf numFmtId="0" fontId="18" fillId="7" borderId="0" xfId="0" applyFont="1" applyFill="1" applyBorder="1" applyAlignment="1">
      <alignment horizontal="right" vertical="center"/>
    </xf>
    <xf numFmtId="0" fontId="18" fillId="9" borderId="0" xfId="0" applyFont="1" applyFill="1" applyBorder="1" applyAlignment="1">
      <alignment horizontal="right" vertical="center"/>
    </xf>
    <xf numFmtId="0" fontId="18" fillId="52" borderId="0" xfId="0" applyFont="1" applyFill="1" applyBorder="1" applyAlignment="1">
      <alignment horizontal="right" vertical="center"/>
    </xf>
    <xf numFmtId="0" fontId="106" fillId="0" borderId="0" xfId="0" applyFont="1"/>
    <xf numFmtId="0" fontId="108" fillId="0" borderId="0" xfId="0" applyFont="1" applyFill="1" applyBorder="1" applyAlignment="1">
      <alignment horizontal="center" vertical="center"/>
    </xf>
    <xf numFmtId="0" fontId="109" fillId="0" borderId="0" xfId="0" applyFont="1"/>
    <xf numFmtId="164" fontId="108" fillId="0" borderId="0" xfId="0" applyNumberFormat="1" applyFont="1" applyFill="1" applyBorder="1" applyAlignment="1">
      <alignment vertical="center"/>
    </xf>
    <xf numFmtId="0" fontId="110" fillId="0" borderId="0" xfId="0" applyFont="1" applyFill="1" applyBorder="1" applyAlignment="1">
      <alignment horizontal="center" vertical="center"/>
    </xf>
    <xf numFmtId="0" fontId="111" fillId="0" borderId="0" xfId="0" applyFont="1" applyFill="1" applyBorder="1" applyAlignment="1">
      <alignment horizontal="center" vertical="center"/>
    </xf>
    <xf numFmtId="164" fontId="18" fillId="0" borderId="0" xfId="0" applyNumberFormat="1" applyFont="1" applyFill="1" applyBorder="1" applyAlignment="1">
      <alignment horizontal="centerContinuous" vertical="center"/>
    </xf>
    <xf numFmtId="0" fontId="111" fillId="0" borderId="0" xfId="0" applyFont="1" applyFill="1" applyBorder="1" applyAlignment="1">
      <alignment vertic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vertical="center"/>
    </xf>
    <xf numFmtId="1" fontId="110" fillId="0" borderId="0" xfId="0" applyNumberFormat="1" applyFont="1" applyFill="1" applyBorder="1" applyAlignment="1">
      <alignment horizontal="center" vertical="center"/>
    </xf>
    <xf numFmtId="9" fontId="110" fillId="0" borderId="0" xfId="0" applyNumberFormat="1" applyFont="1" applyFill="1" applyBorder="1" applyAlignment="1">
      <alignment horizontal="center" vertical="center"/>
    </xf>
    <xf numFmtId="164" fontId="18" fillId="0" borderId="0" xfId="0" applyNumberFormat="1" applyFont="1" applyFill="1" applyBorder="1" applyAlignment="1">
      <alignment vertical="center"/>
    </xf>
    <xf numFmtId="0" fontId="107" fillId="0" borderId="0" xfId="0" applyFont="1" applyFill="1" applyBorder="1" applyAlignment="1">
      <alignment horizontal="right" vertical="center"/>
    </xf>
    <xf numFmtId="0" fontId="107" fillId="0" borderId="0" xfId="0" applyFont="1" applyFill="1" applyBorder="1" applyAlignment="1">
      <alignment horizontal="center" vertical="center"/>
    </xf>
    <xf numFmtId="164" fontId="18" fillId="0" borderId="0" xfId="0" applyNumberFormat="1" applyFont="1" applyBorder="1" applyAlignment="1">
      <alignment vertical="center"/>
    </xf>
    <xf numFmtId="0" fontId="112" fillId="0" borderId="0" xfId="0" applyFont="1" applyFill="1" applyBorder="1" applyAlignment="1">
      <alignment vertical="center"/>
    </xf>
    <xf numFmtId="0" fontId="18" fillId="0" borderId="0" xfId="0" applyFont="1" applyBorder="1" applyAlignment="1">
      <alignment horizontal="right" vertical="center"/>
    </xf>
    <xf numFmtId="0" fontId="38" fillId="0" borderId="0" xfId="0" applyFont="1" applyFill="1" applyBorder="1" applyAlignment="1">
      <alignment vertical="center"/>
    </xf>
    <xf numFmtId="0" fontId="38" fillId="56" borderId="0" xfId="0" applyFont="1" applyFill="1" applyBorder="1" applyAlignment="1">
      <alignment vertical="center"/>
    </xf>
    <xf numFmtId="164" fontId="38" fillId="56" borderId="0" xfId="0" applyNumberFormat="1" applyFont="1" applyFill="1" applyBorder="1" applyAlignment="1">
      <alignment horizontal="center" vertical="center"/>
    </xf>
    <xf numFmtId="0" fontId="18" fillId="0" borderId="0" xfId="0" applyFont="1"/>
    <xf numFmtId="0" fontId="104" fillId="55" borderId="27" xfId="0" applyFont="1" applyFill="1" applyBorder="1" applyAlignment="1">
      <alignment horizontal="centerContinuous" vertical="center"/>
    </xf>
    <xf numFmtId="0" fontId="104" fillId="55" borderId="28" xfId="0" applyFont="1" applyFill="1" applyBorder="1" applyAlignment="1">
      <alignment horizontal="centerContinuous" vertical="center"/>
    </xf>
    <xf numFmtId="0" fontId="104" fillId="55" borderId="29" xfId="0" applyFont="1" applyFill="1" applyBorder="1" applyAlignment="1">
      <alignment horizontal="centerContinuous" vertical="center"/>
    </xf>
    <xf numFmtId="0" fontId="18" fillId="0" borderId="30" xfId="0" applyFont="1" applyBorder="1"/>
    <xf numFmtId="0" fontId="18" fillId="0" borderId="0" xfId="0" applyFont="1" applyBorder="1"/>
    <xf numFmtId="9" fontId="35" fillId="0" borderId="0" xfId="182" applyNumberFormat="1" applyFont="1" applyBorder="1"/>
    <xf numFmtId="0" fontId="18" fillId="0" borderId="31" xfId="0" applyFont="1" applyBorder="1"/>
    <xf numFmtId="0" fontId="0" fillId="0" borderId="30" xfId="0" applyBorder="1"/>
    <xf numFmtId="0" fontId="0" fillId="0" borderId="0" xfId="0" applyBorder="1"/>
    <xf numFmtId="0" fontId="0" fillId="0" borderId="31" xfId="0" applyBorder="1"/>
    <xf numFmtId="0" fontId="0" fillId="0" borderId="32" xfId="0" applyBorder="1"/>
    <xf numFmtId="0" fontId="0" fillId="0" borderId="33" xfId="0" applyBorder="1"/>
    <xf numFmtId="9" fontId="35" fillId="0" borderId="33" xfId="182" applyNumberFormat="1" applyFont="1" applyBorder="1"/>
    <xf numFmtId="0" fontId="0" fillId="0" borderId="34" xfId="0" applyBorder="1"/>
    <xf numFmtId="0" fontId="104" fillId="55" borderId="35" xfId="0" applyFont="1" applyFill="1" applyBorder="1" applyAlignment="1">
      <alignment horizontal="centerContinuous" vertical="center"/>
    </xf>
    <xf numFmtId="0" fontId="104" fillId="55" borderId="24" xfId="0" applyFont="1" applyFill="1" applyBorder="1" applyAlignment="1">
      <alignment horizontal="centerContinuous" vertical="center"/>
    </xf>
    <xf numFmtId="0" fontId="104" fillId="55" borderId="36" xfId="0" applyFont="1" applyFill="1" applyBorder="1" applyAlignment="1">
      <alignment horizontal="centerContinuous" vertical="center"/>
    </xf>
    <xf numFmtId="0" fontId="111" fillId="51" borderId="0" xfId="0" applyFont="1" applyFill="1" applyBorder="1" applyAlignment="1">
      <alignment horizontal="center" vertical="center"/>
    </xf>
    <xf numFmtId="0" fontId="35" fillId="0" borderId="0" xfId="0" applyFont="1" applyFill="1" applyProtection="1">
      <protection hidden="1"/>
    </xf>
    <xf numFmtId="0" fontId="51" fillId="0" borderId="0" xfId="0" applyFont="1" applyFill="1" applyAlignment="1" applyProtection="1">
      <alignment horizontal="left" vertical="center" indent="1"/>
      <protection hidden="1"/>
    </xf>
    <xf numFmtId="0" fontId="40" fillId="0" borderId="0" xfId="0" applyFont="1" applyFill="1" applyAlignment="1" applyProtection="1">
      <alignment vertical="center"/>
      <protection hidden="1"/>
    </xf>
    <xf numFmtId="0" fontId="40" fillId="0" borderId="0" xfId="0" applyFont="1" applyFill="1" applyAlignment="1" applyProtection="1">
      <alignment horizontal="left" vertical="center" indent="1"/>
      <protection hidden="1"/>
    </xf>
    <xf numFmtId="0" fontId="40" fillId="0" borderId="0" xfId="0" applyFont="1" applyFill="1" applyProtection="1">
      <protection hidden="1"/>
    </xf>
    <xf numFmtId="0" fontId="4" fillId="0" borderId="0" xfId="16" applyFont="1" applyProtection="1">
      <protection hidden="1"/>
    </xf>
    <xf numFmtId="0" fontId="4" fillId="6" borderId="3" xfId="16" applyFont="1" applyFill="1" applyBorder="1" applyAlignment="1" applyProtection="1">
      <alignment vertical="top"/>
      <protection hidden="1"/>
    </xf>
    <xf numFmtId="0" fontId="4" fillId="6" borderId="0" xfId="16" applyFont="1" applyFill="1" applyBorder="1" applyAlignment="1" applyProtection="1">
      <alignment vertical="top"/>
      <protection hidden="1"/>
    </xf>
    <xf numFmtId="0" fontId="4" fillId="6" borderId="4" xfId="16" applyFont="1" applyFill="1" applyBorder="1" applyAlignment="1" applyProtection="1">
      <alignment vertical="top"/>
      <protection hidden="1"/>
    </xf>
    <xf numFmtId="49" fontId="4"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wrapText="1"/>
      <protection hidden="1"/>
    </xf>
    <xf numFmtId="0" fontId="35" fillId="6" borderId="0" xfId="16" applyFont="1" applyFill="1" applyBorder="1" applyAlignment="1" applyProtection="1">
      <alignment horizontal="left" vertical="top" wrapText="1" indent="2"/>
      <protection hidden="1"/>
    </xf>
    <xf numFmtId="0" fontId="35" fillId="6" borderId="3" xfId="16" applyFont="1" applyFill="1" applyBorder="1" applyAlignment="1" applyProtection="1">
      <alignment vertical="top"/>
      <protection hidden="1"/>
    </xf>
    <xf numFmtId="49" fontId="35"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protection hidden="1"/>
    </xf>
    <xf numFmtId="0" fontId="35" fillId="6" borderId="4" xfId="16" applyFont="1" applyFill="1" applyBorder="1" applyAlignment="1" applyProtection="1">
      <alignment vertical="top"/>
      <protection hidden="1"/>
    </xf>
    <xf numFmtId="0" fontId="4" fillId="6" borderId="5" xfId="16" applyFont="1" applyFill="1" applyBorder="1" applyAlignment="1" applyProtection="1">
      <alignment vertical="top"/>
      <protection hidden="1"/>
    </xf>
    <xf numFmtId="49" fontId="4" fillId="6" borderId="2" xfId="16" applyNumberFormat="1" applyFont="1" applyFill="1" applyBorder="1" applyAlignment="1" applyProtection="1">
      <alignment vertical="top"/>
      <protection hidden="1"/>
    </xf>
    <xf numFmtId="0" fontId="35" fillId="6" borderId="2" xfId="16" applyFont="1" applyFill="1" applyBorder="1" applyAlignment="1" applyProtection="1">
      <alignment vertical="top" wrapText="1"/>
      <protection hidden="1"/>
    </xf>
    <xf numFmtId="0" fontId="4" fillId="6" borderId="2" xfId="16" applyFont="1" applyFill="1" applyBorder="1" applyAlignment="1" applyProtection="1">
      <alignment vertical="top"/>
      <protection hidden="1"/>
    </xf>
    <xf numFmtId="0" fontId="4" fillId="6" borderId="6" xfId="16" applyFont="1" applyFill="1" applyBorder="1" applyAlignment="1" applyProtection="1">
      <alignment vertical="top"/>
      <protection hidden="1"/>
    </xf>
    <xf numFmtId="0" fontId="37" fillId="0" borderId="0" xfId="0" applyFont="1" applyFill="1" applyAlignment="1" applyProtection="1">
      <alignment horizontal="right"/>
      <protection hidden="1"/>
    </xf>
    <xf numFmtId="0" fontId="35" fillId="0" borderId="0" xfId="0" applyFont="1" applyFill="1" applyAlignment="1" applyProtection="1">
      <alignment horizontal="right"/>
      <protection hidden="1"/>
    </xf>
    <xf numFmtId="164" fontId="35" fillId="0" borderId="0" xfId="0" applyNumberFormat="1" applyFont="1" applyFill="1" applyAlignment="1" applyProtection="1">
      <alignment horizontal="right"/>
      <protection hidden="1"/>
    </xf>
    <xf numFmtId="5" fontId="35" fillId="0" borderId="0" xfId="0" applyNumberFormat="1" applyFont="1" applyFill="1" applyAlignment="1" applyProtection="1">
      <protection hidden="1"/>
    </xf>
    <xf numFmtId="0" fontId="35" fillId="0" borderId="0" xfId="0" applyFont="1" applyFill="1" applyAlignment="1" applyProtection="1">
      <protection hidden="1"/>
    </xf>
    <xf numFmtId="164" fontId="35" fillId="0" borderId="0" xfId="0" applyNumberFormat="1" applyFont="1" applyFill="1" applyAlignment="1" applyProtection="1">
      <alignment horizontal="center"/>
      <protection hidden="1"/>
    </xf>
    <xf numFmtId="14" fontId="97" fillId="0" borderId="0" xfId="0" applyNumberFormat="1" applyFont="1" applyBorder="1" applyAlignment="1">
      <alignment horizontal="left" vertical="center"/>
    </xf>
    <xf numFmtId="0" fontId="35" fillId="52" borderId="1" xfId="0" applyFont="1" applyFill="1" applyBorder="1" applyAlignment="1" applyProtection="1">
      <alignment horizontal="center" vertical="center"/>
    </xf>
    <xf numFmtId="0" fontId="35" fillId="9" borderId="0" xfId="0" applyFont="1" applyFill="1" applyBorder="1" applyAlignment="1" applyProtection="1">
      <alignment horizontal="center" vertical="center"/>
    </xf>
    <xf numFmtId="0" fontId="39" fillId="9" borderId="0" xfId="0" applyFont="1" applyFill="1" applyBorder="1" applyAlignment="1" applyProtection="1">
      <alignment vertical="center"/>
    </xf>
    <xf numFmtId="0" fontId="35" fillId="9" borderId="0" xfId="0" applyFont="1" applyFill="1" applyBorder="1" applyAlignment="1" applyProtection="1">
      <alignment vertical="center"/>
    </xf>
    <xf numFmtId="0" fontId="36" fillId="9" borderId="0" xfId="0" quotePrefix="1" applyFont="1" applyFill="1" applyBorder="1" applyAlignment="1" applyProtection="1">
      <alignment horizontal="center" vertical="top"/>
    </xf>
    <xf numFmtId="0" fontId="36" fillId="9" borderId="0" xfId="0" applyFont="1" applyFill="1" applyBorder="1" applyAlignment="1" applyProtection="1">
      <alignment vertical="top" wrapText="1"/>
    </xf>
    <xf numFmtId="0" fontId="40" fillId="9" borderId="0" xfId="0" applyFont="1" applyFill="1" applyBorder="1" applyAlignment="1" applyProtection="1">
      <alignment horizontal="center" vertical="center" wrapText="1"/>
    </xf>
    <xf numFmtId="0" fontId="35" fillId="9" borderId="0" xfId="0" applyFont="1" applyFill="1" applyBorder="1" applyAlignment="1" applyProtection="1">
      <alignment vertical="center" wrapText="1"/>
    </xf>
    <xf numFmtId="0" fontId="35" fillId="9" borderId="0" xfId="0" applyFont="1" applyFill="1" applyBorder="1" applyAlignment="1" applyProtection="1">
      <alignment horizontal="right" vertical="top" indent="1"/>
    </xf>
    <xf numFmtId="0" fontId="42" fillId="9" borderId="0" xfId="0" applyFont="1" applyFill="1" applyBorder="1" applyAlignment="1" applyProtection="1">
      <alignment vertical="center" wrapText="1"/>
    </xf>
    <xf numFmtId="0" fontId="37" fillId="9" borderId="0" xfId="0" applyFont="1" applyFill="1" applyBorder="1" applyAlignment="1" applyProtection="1">
      <alignment horizontal="center" wrapText="1"/>
    </xf>
    <xf numFmtId="0" fontId="35" fillId="9" borderId="0" xfId="0" applyFont="1" applyFill="1" applyBorder="1" applyAlignment="1" applyProtection="1">
      <alignment horizontal="center" vertical="center" wrapText="1"/>
    </xf>
    <xf numFmtId="0" fontId="43" fillId="9" borderId="0" xfId="0" applyFont="1" applyFill="1" applyBorder="1" applyAlignment="1" applyProtection="1">
      <alignment horizontal="center" wrapText="1"/>
    </xf>
    <xf numFmtId="0" fontId="44" fillId="9" borderId="0" xfId="0" applyFont="1" applyFill="1" applyBorder="1" applyAlignment="1" applyProtection="1">
      <alignment horizontal="left" vertical="center" wrapText="1"/>
    </xf>
    <xf numFmtId="0" fontId="40" fillId="9" borderId="0" xfId="0" applyFont="1" applyFill="1" applyBorder="1" applyAlignment="1" applyProtection="1">
      <alignment vertical="center" wrapText="1"/>
    </xf>
    <xf numFmtId="0" fontId="45" fillId="9" borderId="0" xfId="0" applyFont="1" applyFill="1" applyBorder="1" applyAlignment="1" applyProtection="1">
      <alignment horizontal="center" vertical="center" wrapText="1"/>
    </xf>
    <xf numFmtId="0" fontId="97" fillId="52" borderId="1" xfId="0" applyFont="1" applyFill="1" applyBorder="1" applyAlignment="1" applyProtection="1">
      <alignment horizontal="center" vertical="center"/>
      <protection locked="0"/>
    </xf>
    <xf numFmtId="0" fontId="35" fillId="0" borderId="0" xfId="16" quotePrefix="1" applyNumberFormat="1" applyFont="1" applyFill="1" applyBorder="1" applyAlignment="1" applyProtection="1">
      <alignment horizontal="left" vertical="top" wrapText="1" indent="2"/>
      <protection hidden="1"/>
    </xf>
    <xf numFmtId="0" fontId="35" fillId="0" borderId="0" xfId="16" applyNumberFormat="1" applyFont="1" applyFill="1" applyBorder="1" applyAlignment="1" applyProtection="1">
      <alignment horizontal="left" vertical="top" wrapText="1" indent="2"/>
      <protection hidden="1"/>
    </xf>
    <xf numFmtId="164" fontId="97" fillId="52" borderId="1" xfId="0" applyNumberFormat="1" applyFont="1" applyFill="1" applyBorder="1" applyAlignment="1" applyProtection="1">
      <alignment horizontal="center" vertical="center"/>
      <protection locked="0"/>
    </xf>
    <xf numFmtId="0" fontId="38" fillId="57" borderId="0" xfId="0" applyFont="1" applyFill="1" applyBorder="1" applyAlignment="1">
      <alignment vertical="center"/>
    </xf>
    <xf numFmtId="164" fontId="38" fillId="57" borderId="0" xfId="0" applyNumberFormat="1" applyFont="1" applyFill="1" applyBorder="1" applyAlignment="1">
      <alignment horizontal="center" vertical="center"/>
    </xf>
    <xf numFmtId="0" fontId="18" fillId="0" borderId="0" xfId="0" applyFont="1" applyFill="1" applyBorder="1" applyAlignment="1">
      <alignment horizontal="left" vertical="center" indent="1"/>
    </xf>
    <xf numFmtId="0" fontId="35" fillId="0" borderId="0" xfId="0" applyFont="1" applyAlignment="1">
      <alignment horizontal="left" indent="1"/>
    </xf>
    <xf numFmtId="0" fontId="113" fillId="0" borderId="0" xfId="0" applyFont="1" applyBorder="1" applyAlignment="1">
      <alignment vertical="center"/>
    </xf>
    <xf numFmtId="0" fontId="114" fillId="0" borderId="0" xfId="0" applyFont="1" applyBorder="1" applyAlignment="1">
      <alignment horizontal="left" vertical="center"/>
    </xf>
    <xf numFmtId="167" fontId="35" fillId="0" borderId="0" xfId="0" applyNumberFormat="1" applyFont="1"/>
    <xf numFmtId="0" fontId="35" fillId="0" borderId="0" xfId="0" applyFont="1" applyFill="1" applyAlignment="1" applyProtection="1">
      <alignment vertical="center" wrapText="1"/>
      <protection hidden="1"/>
    </xf>
    <xf numFmtId="0" fontId="18" fillId="0" borderId="0" xfId="0" applyFont="1" applyFill="1" applyAlignment="1" applyProtection="1">
      <alignment vertical="center"/>
      <protection hidden="1"/>
    </xf>
    <xf numFmtId="9" fontId="35" fillId="52" borderId="1" xfId="0" applyNumberFormat="1" applyFont="1" applyFill="1" applyBorder="1" applyAlignment="1" applyProtection="1">
      <alignment horizontal="right" vertical="center" indent="1"/>
      <protection locked="0"/>
    </xf>
    <xf numFmtId="0" fontId="40" fillId="0" borderId="0" xfId="0" applyFont="1" applyProtection="1">
      <protection hidden="1"/>
    </xf>
    <xf numFmtId="0" fontId="18" fillId="0" borderId="0" xfId="0" applyFont="1" applyProtection="1">
      <protection hidden="1"/>
    </xf>
    <xf numFmtId="0" fontId="35" fillId="0" borderId="0" xfId="0" applyFont="1" applyProtection="1">
      <protection hidden="1"/>
    </xf>
    <xf numFmtId="0" fontId="35" fillId="6" borderId="0" xfId="0" applyFont="1" applyFill="1" applyAlignment="1" applyProtection="1">
      <alignment vertical="center"/>
      <protection hidden="1"/>
    </xf>
    <xf numFmtId="0" fontId="53" fillId="41" borderId="39" xfId="188" applyFont="1" applyFill="1" applyBorder="1" applyAlignment="1">
      <alignment horizontal="left" indent="1"/>
    </xf>
    <xf numFmtId="168" fontId="53" fillId="41" borderId="41" xfId="188" applyNumberFormat="1" applyFont="1" applyFill="1" applyBorder="1" applyAlignment="1">
      <alignment horizontal="right" indent="1"/>
    </xf>
    <xf numFmtId="168" fontId="115" fillId="41" borderId="40" xfId="188" applyNumberFormat="1" applyFont="1" applyFill="1" applyBorder="1" applyAlignment="1">
      <alignment horizontal="right" indent="1"/>
    </xf>
    <xf numFmtId="168" fontId="115" fillId="41" borderId="42" xfId="188" applyNumberFormat="1" applyFont="1" applyFill="1" applyBorder="1" applyAlignment="1">
      <alignment horizontal="right" indent="1"/>
    </xf>
    <xf numFmtId="168" fontId="53" fillId="41" borderId="42" xfId="188" applyNumberFormat="1" applyFont="1" applyFill="1" applyBorder="1" applyAlignment="1">
      <alignment horizontal="right" indent="1"/>
    </xf>
    <xf numFmtId="0" fontId="110" fillId="0" borderId="0" xfId="184" applyFont="1" applyAlignment="1" applyProtection="1">
      <alignment horizontal="centerContinuous"/>
      <protection hidden="1"/>
    </xf>
    <xf numFmtId="0" fontId="116" fillId="0" borderId="0" xfId="184" applyFont="1" applyProtection="1">
      <protection hidden="1"/>
    </xf>
    <xf numFmtId="0" fontId="1" fillId="0" borderId="0" xfId="184" applyFont="1" applyAlignment="1" applyProtection="1">
      <alignment vertical="top"/>
      <protection hidden="1"/>
    </xf>
    <xf numFmtId="0" fontId="1" fillId="0" borderId="0" xfId="184" applyFont="1" applyProtection="1">
      <protection hidden="1"/>
    </xf>
    <xf numFmtId="0" fontId="117" fillId="0" borderId="0" xfId="184" applyFont="1" applyProtection="1">
      <protection hidden="1"/>
    </xf>
    <xf numFmtId="0" fontId="117" fillId="0" borderId="0" xfId="184" applyFont="1" applyBorder="1" applyProtection="1">
      <protection hidden="1"/>
    </xf>
    <xf numFmtId="164" fontId="113" fillId="0" borderId="0" xfId="0" applyNumberFormat="1" applyFont="1" applyFill="1" applyBorder="1" applyAlignment="1">
      <alignment horizontal="left" vertical="center"/>
    </xf>
    <xf numFmtId="0" fontId="118" fillId="0" borderId="0" xfId="0" applyFont="1"/>
    <xf numFmtId="0" fontId="35" fillId="0" borderId="0" xfId="0" applyFont="1" applyFill="1" applyBorder="1" applyAlignment="1">
      <alignment horizontal="left" vertical="center" indent="2"/>
    </xf>
    <xf numFmtId="0" fontId="35" fillId="53" borderId="0" xfId="0" applyFont="1" applyFill="1" applyBorder="1" applyAlignment="1" applyProtection="1">
      <alignment horizontal="right" vertical="center" indent="1"/>
    </xf>
    <xf numFmtId="0" fontId="35" fillId="53" borderId="0" xfId="0" applyFont="1" applyFill="1" applyAlignment="1" applyProtection="1">
      <alignment horizontal="center" vertical="center"/>
    </xf>
    <xf numFmtId="0" fontId="97" fillId="53" borderId="0" xfId="0" applyFont="1" applyFill="1" applyBorder="1" applyAlignment="1" applyProtection="1">
      <alignment horizontal="center" vertical="center"/>
      <protection locked="0"/>
    </xf>
    <xf numFmtId="0" fontId="35" fillId="53" borderId="0" xfId="0" applyFont="1" applyFill="1" applyAlignment="1" applyProtection="1">
      <alignment vertical="center" wrapText="1"/>
    </xf>
    <xf numFmtId="164" fontId="114" fillId="0" borderId="0" xfId="0" applyNumberFormat="1" applyFont="1" applyFill="1" applyBorder="1" applyAlignment="1">
      <alignment horizontal="left" vertical="center"/>
    </xf>
    <xf numFmtId="168" fontId="42" fillId="41" borderId="40" xfId="188" applyNumberFormat="1" applyFont="1" applyFill="1" applyBorder="1" applyAlignment="1">
      <alignment horizontal="right" indent="1"/>
    </xf>
    <xf numFmtId="49" fontId="53" fillId="0" borderId="39" xfId="188" applyNumberFormat="1" applyFont="1" applyBorder="1" applyAlignment="1">
      <alignment horizontal="left" indent="1"/>
    </xf>
    <xf numFmtId="168" fontId="53" fillId="0" borderId="40" xfId="188" applyNumberFormat="1" applyFont="1" applyBorder="1" applyAlignment="1">
      <alignment horizontal="right" indent="1"/>
    </xf>
    <xf numFmtId="168" fontId="53" fillId="0" borderId="42" xfId="188" applyNumberFormat="1" applyFont="1" applyBorder="1" applyAlignment="1">
      <alignment horizontal="right" indent="1"/>
    </xf>
    <xf numFmtId="0" fontId="119" fillId="0" borderId="0" xfId="188" applyFont="1" applyFill="1"/>
    <xf numFmtId="0" fontId="53" fillId="0" borderId="0" xfId="0" applyFont="1" applyFill="1" applyAlignment="1" applyProtection="1">
      <alignment horizontal="right" vertical="center"/>
      <protection hidden="1"/>
    </xf>
    <xf numFmtId="0" fontId="53" fillId="0" borderId="0" xfId="0" applyFont="1" applyFill="1" applyAlignment="1" applyProtection="1">
      <alignment horizontal="right"/>
      <protection hidden="1"/>
    </xf>
    <xf numFmtId="164" fontId="53" fillId="0" borderId="0" xfId="0" applyNumberFormat="1" applyFont="1" applyFill="1" applyAlignment="1" applyProtection="1">
      <alignment horizontal="right"/>
      <protection hidden="1"/>
    </xf>
    <xf numFmtId="9" fontId="53" fillId="0" borderId="0" xfId="0" applyNumberFormat="1" applyFont="1" applyFill="1" applyAlignment="1" applyProtection="1">
      <alignment horizontal="right"/>
      <protection hidden="1"/>
    </xf>
    <xf numFmtId="5" fontId="53" fillId="0" borderId="0" xfId="0" applyNumberFormat="1" applyFont="1" applyFill="1" applyAlignment="1" applyProtection="1">
      <protection hidden="1"/>
    </xf>
    <xf numFmtId="0" fontId="120" fillId="0" borderId="0" xfId="0" applyFont="1" applyFill="1" applyAlignment="1" applyProtection="1">
      <alignment horizontal="right"/>
      <protection hidden="1"/>
    </xf>
    <xf numFmtId="0" fontId="35" fillId="0" borderId="0" xfId="0" applyFont="1" applyFill="1" applyAlignment="1" applyProtection="1">
      <alignment horizontal="right" vertical="center"/>
      <protection hidden="1"/>
    </xf>
    <xf numFmtId="0" fontId="35" fillId="0" borderId="0" xfId="0" applyFont="1" applyFill="1" applyAlignment="1" applyProtection="1">
      <alignment horizontal="right" vertical="center"/>
    </xf>
    <xf numFmtId="0" fontId="35" fillId="0" borderId="0" xfId="0" applyFont="1" applyFill="1" applyAlignment="1" applyProtection="1">
      <alignment horizontal="right" vertical="center"/>
      <protection locked="0" hidden="1"/>
    </xf>
    <xf numFmtId="0" fontId="0" fillId="0" borderId="0" xfId="0" applyAlignment="1">
      <alignment horizontal="right"/>
    </xf>
    <xf numFmtId="5" fontId="35" fillId="0" borderId="0" xfId="0" applyNumberFormat="1" applyFont="1" applyFill="1" applyAlignment="1" applyProtection="1">
      <alignment horizontal="right" vertical="center"/>
      <protection hidden="1"/>
    </xf>
    <xf numFmtId="7" fontId="35" fillId="0" borderId="0" xfId="0" applyNumberFormat="1" applyFont="1" applyFill="1" applyAlignment="1" applyProtection="1">
      <alignment horizontal="right" vertical="center"/>
    </xf>
    <xf numFmtId="0" fontId="41" fillId="0" borderId="0" xfId="0" applyFont="1" applyFill="1" applyAlignment="1" applyProtection="1">
      <alignment horizontal="right" vertical="center"/>
    </xf>
    <xf numFmtId="164" fontId="35" fillId="0" borderId="0" xfId="0" applyNumberFormat="1" applyFont="1" applyFill="1" applyAlignment="1" applyProtection="1">
      <alignment horizontal="right" vertical="center"/>
    </xf>
    <xf numFmtId="167" fontId="35" fillId="0" borderId="0" xfId="0" applyNumberFormat="1" applyFont="1" applyBorder="1" applyAlignment="1">
      <alignment vertical="center"/>
    </xf>
    <xf numFmtId="164" fontId="35" fillId="0" borderId="0" xfId="0" applyNumberFormat="1" applyFont="1" applyBorder="1" applyAlignment="1">
      <alignment vertical="center"/>
    </xf>
    <xf numFmtId="0" fontId="121" fillId="0" borderId="0" xfId="188" applyFont="1"/>
    <xf numFmtId="0" fontId="122" fillId="0" borderId="0" xfId="188" applyFont="1" applyAlignment="1">
      <alignment horizontal="right" indent="1"/>
    </xf>
    <xf numFmtId="0" fontId="2" fillId="0" borderId="0" xfId="188"/>
    <xf numFmtId="0" fontId="2" fillId="0" borderId="0" xfId="188" applyAlignment="1">
      <alignment horizontal="right" indent="1"/>
    </xf>
    <xf numFmtId="0" fontId="18" fillId="0" borderId="0" xfId="188" applyFont="1" applyAlignment="1">
      <alignment horizontal="center" vertical="top"/>
    </xf>
    <xf numFmtId="168" fontId="110" fillId="0" borderId="0" xfId="185" applyFont="1" applyBorder="1">
      <alignment horizontal="right" indent="1"/>
    </xf>
    <xf numFmtId="164" fontId="53" fillId="0" borderId="40" xfId="188" applyNumberFormat="1" applyFont="1" applyBorder="1" applyAlignment="1">
      <alignment horizontal="right" indent="1"/>
    </xf>
    <xf numFmtId="164" fontId="53" fillId="0" borderId="42" xfId="188" applyNumberFormat="1" applyFont="1" applyBorder="1" applyAlignment="1">
      <alignment horizontal="right" indent="1"/>
    </xf>
    <xf numFmtId="167" fontId="53" fillId="0" borderId="42" xfId="188" applyNumberFormat="1" applyFont="1" applyBorder="1" applyAlignment="1">
      <alignment horizontal="right" indent="1"/>
    </xf>
    <xf numFmtId="168" fontId="42" fillId="41" borderId="42" xfId="188" applyNumberFormat="1" applyFont="1" applyFill="1" applyBorder="1" applyAlignment="1">
      <alignment horizontal="right" indent="1"/>
    </xf>
    <xf numFmtId="0" fontId="37" fillId="0" borderId="43" xfId="0" applyFont="1" applyBorder="1" applyAlignment="1">
      <alignment vertical="center"/>
    </xf>
    <xf numFmtId="164" fontId="114" fillId="0" borderId="44" xfId="0" applyNumberFormat="1" applyFont="1" applyFill="1" applyBorder="1" applyAlignment="1">
      <alignment horizontal="left" vertical="center"/>
    </xf>
    <xf numFmtId="164" fontId="113" fillId="0" borderId="44" xfId="0" applyNumberFormat="1" applyFont="1" applyBorder="1" applyAlignment="1">
      <alignment horizontal="left" vertical="center"/>
    </xf>
    <xf numFmtId="164" fontId="114" fillId="0" borderId="44" xfId="0" applyNumberFormat="1" applyFont="1" applyBorder="1" applyAlignment="1">
      <alignment horizontal="left" vertical="center"/>
    </xf>
    <xf numFmtId="164" fontId="114" fillId="0" borderId="45" xfId="0" applyNumberFormat="1" applyFont="1" applyBorder="1" applyAlignment="1">
      <alignment horizontal="left" vertical="center"/>
    </xf>
    <xf numFmtId="0" fontId="36" fillId="3" borderId="0" xfId="0" applyFont="1" applyFill="1" applyBorder="1" applyAlignment="1" applyProtection="1">
      <alignment vertical="top" wrapText="1"/>
    </xf>
    <xf numFmtId="0" fontId="124" fillId="58" borderId="0" xfId="0" applyFont="1" applyFill="1" applyBorder="1" applyAlignment="1" applyProtection="1">
      <alignment horizontal="centerContinuous" vertical="center"/>
      <protection hidden="1"/>
    </xf>
    <xf numFmtId="0" fontId="125" fillId="58" borderId="0" xfId="0" applyFont="1" applyFill="1" applyBorder="1" applyAlignment="1" applyProtection="1">
      <alignment horizontal="centerContinuous" vertical="center"/>
      <protection hidden="1"/>
    </xf>
    <xf numFmtId="0" fontId="126" fillId="58" borderId="0" xfId="0" applyFont="1" applyFill="1" applyBorder="1" applyAlignment="1" applyProtection="1">
      <alignment vertical="center"/>
    </xf>
    <xf numFmtId="0" fontId="124" fillId="58" borderId="0" xfId="0" applyFont="1" applyFill="1" applyBorder="1" applyAlignment="1" applyProtection="1">
      <alignment horizontal="centerContinuous" vertical="center"/>
    </xf>
    <xf numFmtId="0" fontId="126" fillId="58" borderId="0" xfId="0" applyFont="1" applyFill="1" applyBorder="1" applyAlignment="1" applyProtection="1">
      <alignment horizontal="centerContinuous" vertical="center"/>
    </xf>
    <xf numFmtId="0" fontId="34" fillId="58" borderId="7" xfId="16" applyFont="1" applyFill="1" applyBorder="1" applyAlignment="1" applyProtection="1">
      <alignment vertical="center"/>
      <protection hidden="1"/>
    </xf>
    <xf numFmtId="0" fontId="34" fillId="58" borderId="8" xfId="16" applyFont="1" applyFill="1" applyBorder="1" applyAlignment="1" applyProtection="1">
      <alignment vertical="center"/>
      <protection hidden="1"/>
    </xf>
    <xf numFmtId="0" fontId="127" fillId="58" borderId="8" xfId="16" applyFont="1" applyFill="1" applyBorder="1" applyAlignment="1" applyProtection="1">
      <alignment horizontal="center" vertical="center"/>
      <protection hidden="1"/>
    </xf>
    <xf numFmtId="0" fontId="34" fillId="58" borderId="9" xfId="16" applyFont="1" applyFill="1" applyBorder="1" applyAlignment="1" applyProtection="1">
      <alignment vertical="center"/>
      <protection hidden="1"/>
    </xf>
    <xf numFmtId="0" fontId="36" fillId="3" borderId="0" xfId="0" applyFont="1" applyFill="1" applyAlignment="1">
      <alignment vertical="top" wrapText="1"/>
    </xf>
    <xf numFmtId="0" fontId="126" fillId="60" borderId="0" xfId="0" applyFont="1" applyFill="1" applyAlignment="1">
      <alignment vertical="center"/>
    </xf>
    <xf numFmtId="0" fontId="124" fillId="60" borderId="0" xfId="0" applyFont="1" applyFill="1" applyAlignment="1">
      <alignment horizontal="centerContinuous" vertical="center"/>
    </xf>
    <xf numFmtId="0" fontId="126" fillId="60" borderId="0" xfId="0" applyFont="1" applyFill="1" applyAlignment="1">
      <alignment horizontal="centerContinuous" vertical="center"/>
    </xf>
    <xf numFmtId="0" fontId="35" fillId="53" borderId="0" xfId="0" applyFont="1" applyFill="1" applyAlignment="1">
      <alignment vertical="center"/>
    </xf>
    <xf numFmtId="0" fontId="49" fillId="53" borderId="0" xfId="0" applyFont="1" applyFill="1" applyAlignment="1">
      <alignment vertical="center"/>
    </xf>
    <xf numFmtId="0" fontId="43" fillId="53" borderId="0" xfId="0" applyFont="1" applyFill="1" applyAlignment="1">
      <alignment horizontal="center" vertical="center"/>
    </xf>
    <xf numFmtId="0" fontId="35" fillId="53" borderId="0" xfId="0" applyFont="1" applyFill="1" applyAlignment="1">
      <alignment horizontal="center" vertical="center"/>
    </xf>
    <xf numFmtId="0" fontId="35" fillId="53" borderId="0" xfId="0" applyFont="1" applyFill="1" applyAlignment="1">
      <alignment horizontal="left" vertical="center"/>
    </xf>
    <xf numFmtId="5" fontId="35" fillId="53" borderId="0" xfId="0" applyNumberFormat="1" applyFont="1" applyFill="1" applyAlignment="1" applyProtection="1">
      <alignment horizontal="center" vertical="center"/>
      <protection hidden="1"/>
    </xf>
    <xf numFmtId="164" fontId="35" fillId="53" borderId="0" xfId="0" applyNumberFormat="1" applyFont="1" applyFill="1" applyAlignment="1">
      <alignment horizontal="center" vertical="center"/>
    </xf>
    <xf numFmtId="5" fontId="37" fillId="53" borderId="0" xfId="0" applyNumberFormat="1" applyFont="1" applyFill="1" applyAlignment="1" applyProtection="1">
      <alignment horizontal="center" vertical="center"/>
      <protection hidden="1"/>
    </xf>
    <xf numFmtId="0" fontId="128" fillId="60" borderId="0" xfId="0" applyFont="1" applyFill="1" applyAlignment="1">
      <alignment horizontal="left" vertical="center"/>
    </xf>
    <xf numFmtId="164" fontId="126" fillId="60" borderId="0" xfId="0" applyNumberFormat="1" applyFont="1" applyFill="1" applyAlignment="1" applyProtection="1">
      <alignment horizontal="center" vertical="center"/>
      <protection hidden="1"/>
    </xf>
    <xf numFmtId="164" fontId="128" fillId="60" borderId="0" xfId="0" applyNumberFormat="1" applyFont="1" applyFill="1" applyAlignment="1" applyProtection="1">
      <alignment horizontal="center" vertical="center"/>
      <protection hidden="1"/>
    </xf>
    <xf numFmtId="164" fontId="126" fillId="60" borderId="0" xfId="0" applyNumberFormat="1" applyFont="1" applyFill="1" applyAlignment="1">
      <alignment horizontal="center" vertical="center"/>
    </xf>
    <xf numFmtId="0" fontId="35" fillId="6" borderId="0" xfId="0" applyFont="1" applyFill="1" applyAlignment="1">
      <alignment vertical="center"/>
    </xf>
    <xf numFmtId="0" fontId="126" fillId="59" borderId="0" xfId="0" applyFont="1" applyFill="1" applyAlignment="1">
      <alignment vertical="center"/>
    </xf>
    <xf numFmtId="0" fontId="124" fillId="59" borderId="0" xfId="0" applyFont="1" applyFill="1" applyAlignment="1">
      <alignment horizontal="centerContinuous" vertical="center" wrapText="1"/>
    </xf>
    <xf numFmtId="0" fontId="35" fillId="59" borderId="0" xfId="0" applyFont="1" applyFill="1" applyAlignment="1" applyProtection="1">
      <alignment horizontal="centerContinuous" vertical="center"/>
      <protection hidden="1"/>
    </xf>
    <xf numFmtId="0" fontId="35" fillId="59" borderId="0" xfId="0" applyFont="1" applyFill="1" applyAlignment="1">
      <alignment vertical="center"/>
    </xf>
  </cellXfs>
  <cellStyles count="189">
    <cellStyle name="% Change" xfId="18" xr:uid="{00000000-0005-0000-0000-000000000000}"/>
    <cellStyle name="0.0%" xfId="19" xr:uid="{00000000-0005-0000-0000-000001000000}"/>
    <cellStyle name="0.000" xfId="20" xr:uid="{00000000-0005-0000-0000-000002000000}"/>
    <cellStyle name="20% - Accent1 2" xfId="21" xr:uid="{00000000-0005-0000-0000-000003000000}"/>
    <cellStyle name="20% - Accent2 2" xfId="22" xr:uid="{00000000-0005-0000-0000-000004000000}"/>
    <cellStyle name="20% - Accent3 2" xfId="23" xr:uid="{00000000-0005-0000-0000-000005000000}"/>
    <cellStyle name="20% - Accent4 2" xfId="24" xr:uid="{00000000-0005-0000-0000-000006000000}"/>
    <cellStyle name="20% - Accent5 2" xfId="25" xr:uid="{00000000-0005-0000-0000-000007000000}"/>
    <cellStyle name="20% - Accent6 2" xfId="26" xr:uid="{00000000-0005-0000-0000-000008000000}"/>
    <cellStyle name="40% - Accent1 2" xfId="27" xr:uid="{00000000-0005-0000-0000-000009000000}"/>
    <cellStyle name="40% - Accent2 2" xfId="28" xr:uid="{00000000-0005-0000-0000-00000A000000}"/>
    <cellStyle name="40% - Accent3 2" xfId="29" xr:uid="{00000000-0005-0000-0000-00000B000000}"/>
    <cellStyle name="40% - Accent4 2" xfId="30" xr:uid="{00000000-0005-0000-0000-00000C000000}"/>
    <cellStyle name="40% - Accent5 2" xfId="31" xr:uid="{00000000-0005-0000-0000-00000D000000}"/>
    <cellStyle name="40% - Accent6 2" xfId="32" xr:uid="{00000000-0005-0000-0000-00000E000000}"/>
    <cellStyle name="60% - Accent1 2" xfId="33" xr:uid="{00000000-0005-0000-0000-00000F000000}"/>
    <cellStyle name="60% - Accent2 2" xfId="34" xr:uid="{00000000-0005-0000-0000-000010000000}"/>
    <cellStyle name="60% - Accent3 2" xfId="35" xr:uid="{00000000-0005-0000-0000-000011000000}"/>
    <cellStyle name="60% - Accent4 2" xfId="36" xr:uid="{00000000-0005-0000-0000-000012000000}"/>
    <cellStyle name="60% - Accent5 2" xfId="37" xr:uid="{00000000-0005-0000-0000-000013000000}"/>
    <cellStyle name="60% - Accent6 2" xfId="38" xr:uid="{00000000-0005-0000-0000-000014000000}"/>
    <cellStyle name="Accent1 2" xfId="39" xr:uid="{00000000-0005-0000-0000-000015000000}"/>
    <cellStyle name="Accent2 2" xfId="40" xr:uid="{00000000-0005-0000-0000-000016000000}"/>
    <cellStyle name="Accent3 2" xfId="41" xr:uid="{00000000-0005-0000-0000-000017000000}"/>
    <cellStyle name="Accent4 2" xfId="42" xr:uid="{00000000-0005-0000-0000-000018000000}"/>
    <cellStyle name="Accent5 2" xfId="43" xr:uid="{00000000-0005-0000-0000-000019000000}"/>
    <cellStyle name="Accent6 2" xfId="44" xr:uid="{00000000-0005-0000-0000-00001A000000}"/>
    <cellStyle name="Answer" xfId="45" xr:uid="{00000000-0005-0000-0000-00001B000000}"/>
    <cellStyle name="Bad 2" xfId="46" xr:uid="{00000000-0005-0000-0000-00001C000000}"/>
    <cellStyle name="Banner" xfId="186" xr:uid="{00000000-0005-0000-0000-00001D000000}"/>
    <cellStyle name="Body" xfId="47" xr:uid="{00000000-0005-0000-0000-00001E000000}"/>
    <cellStyle name="Bullets" xfId="48" xr:uid="{00000000-0005-0000-0000-00001F000000}"/>
    <cellStyle name="Bullets 2" xfId="49" xr:uid="{00000000-0005-0000-0000-000020000000}"/>
    <cellStyle name="Bullets_Serv Fee exhibit" xfId="50" xr:uid="{00000000-0005-0000-0000-000021000000}"/>
    <cellStyle name="Calc Currency (0)" xfId="51" xr:uid="{00000000-0005-0000-0000-000022000000}"/>
    <cellStyle name="Calc Currency (0) 2" xfId="52" xr:uid="{00000000-0005-0000-0000-000023000000}"/>
    <cellStyle name="Calculation 2" xfId="53" xr:uid="{00000000-0005-0000-0000-000024000000}"/>
    <cellStyle name="Check Cell 2" xfId="54" xr:uid="{00000000-0005-0000-0000-000025000000}"/>
    <cellStyle name="Column Title" xfId="55" xr:uid="{00000000-0005-0000-0000-000026000000}"/>
    <cellStyle name="Comma 0" xfId="56" xr:uid="{00000000-0005-0000-0000-000027000000}"/>
    <cellStyle name="Comma 2" xfId="57" xr:uid="{00000000-0005-0000-0000-000028000000}"/>
    <cellStyle name="Comma 3" xfId="58" xr:uid="{00000000-0005-0000-0000-000029000000}"/>
    <cellStyle name="Comma 4" xfId="183" xr:uid="{00000000-0005-0000-0000-00002A000000}"/>
    <cellStyle name="Comma0" xfId="59" xr:uid="{00000000-0005-0000-0000-00002B000000}"/>
    <cellStyle name="Comma1 - Style1" xfId="60" xr:uid="{00000000-0005-0000-0000-00002C000000}"/>
    <cellStyle name="Copied" xfId="61" xr:uid="{00000000-0005-0000-0000-00002D000000}"/>
    <cellStyle name="Curren - Style1" xfId="62" xr:uid="{00000000-0005-0000-0000-00002E000000}"/>
    <cellStyle name="Curren - Style2" xfId="63" xr:uid="{00000000-0005-0000-0000-00002F000000}"/>
    <cellStyle name="Currency 0" xfId="64" xr:uid="{00000000-0005-0000-0000-000030000000}"/>
    <cellStyle name="Currency 2" xfId="65" xr:uid="{00000000-0005-0000-0000-000031000000}"/>
    <cellStyle name="Currency 3" xfId="66" xr:uid="{00000000-0005-0000-0000-000032000000}"/>
    <cellStyle name="Currency0" xfId="67" xr:uid="{00000000-0005-0000-0000-000033000000}"/>
    <cellStyle name="Custo - Style8" xfId="68" xr:uid="{00000000-0005-0000-0000-000034000000}"/>
    <cellStyle name="Custom - Style8" xfId="69" xr:uid="{00000000-0005-0000-0000-000035000000}"/>
    <cellStyle name="Data" xfId="70" xr:uid="{00000000-0005-0000-0000-000036000000}"/>
    <cellStyle name="Data   - Style2" xfId="71" xr:uid="{00000000-0005-0000-0000-000037000000}"/>
    <cellStyle name="Data  - Style2" xfId="72" xr:uid="{00000000-0005-0000-0000-000038000000}"/>
    <cellStyle name="Date" xfId="1" xr:uid="{00000000-0005-0000-0000-000039000000}"/>
    <cellStyle name="DEFAULT" xfId="73" xr:uid="{00000000-0005-0000-0000-00003A000000}"/>
    <cellStyle name="Enterable" xfId="74" xr:uid="{00000000-0005-0000-0000-00003B000000}"/>
    <cellStyle name="Entered" xfId="75" xr:uid="{00000000-0005-0000-0000-00003C000000}"/>
    <cellStyle name="Euro" xfId="2" xr:uid="{00000000-0005-0000-0000-00003D000000}"/>
    <cellStyle name="Euro 2" xfId="76" xr:uid="{00000000-0005-0000-0000-00003E000000}"/>
    <cellStyle name="Explanatory Text 2" xfId="77" xr:uid="{00000000-0005-0000-0000-00003F000000}"/>
    <cellStyle name="ExtStyle 0" xfId="78" xr:uid="{00000000-0005-0000-0000-000040000000}"/>
    <cellStyle name="ExtStyle 16" xfId="79" xr:uid="{00000000-0005-0000-0000-000041000000}"/>
    <cellStyle name="ExtStyle 17" xfId="80" xr:uid="{00000000-0005-0000-0000-000042000000}"/>
    <cellStyle name="ExtStyle 18" xfId="81" xr:uid="{00000000-0005-0000-0000-000043000000}"/>
    <cellStyle name="ExtStyle 19" xfId="82" xr:uid="{00000000-0005-0000-0000-000044000000}"/>
    <cellStyle name="ExtStyle 20" xfId="83" xr:uid="{00000000-0005-0000-0000-000045000000}"/>
    <cellStyle name="ExtStyle 21" xfId="84" xr:uid="{00000000-0005-0000-0000-000046000000}"/>
    <cellStyle name="ExtStyle 22" xfId="85" xr:uid="{00000000-0005-0000-0000-000047000000}"/>
    <cellStyle name="Fixed" xfId="86" xr:uid="{00000000-0005-0000-0000-000048000000}"/>
    <cellStyle name="Fixed (1)" xfId="87" xr:uid="{00000000-0005-0000-0000-000049000000}"/>
    <cellStyle name="Fixed2 - Style2" xfId="88" xr:uid="{00000000-0005-0000-0000-00004A000000}"/>
    <cellStyle name="Fixed4 - Style3" xfId="89" xr:uid="{00000000-0005-0000-0000-00004B000000}"/>
    <cellStyle name="Footnote" xfId="187" xr:uid="{00000000-0005-0000-0000-00004C000000}"/>
    <cellStyle name="Good 2" xfId="90" xr:uid="{00000000-0005-0000-0000-00004D000000}"/>
    <cellStyle name="Graph" xfId="91" xr:uid="{00000000-0005-0000-0000-00004E000000}"/>
    <cellStyle name="Graph 2" xfId="92" xr:uid="{00000000-0005-0000-0000-00004F000000}"/>
    <cellStyle name="Grey" xfId="3" xr:uid="{00000000-0005-0000-0000-000050000000}"/>
    <cellStyle name="Grey 2" xfId="93" xr:uid="{00000000-0005-0000-0000-000051000000}"/>
    <cellStyle name="Grey Box" xfId="94" xr:uid="{00000000-0005-0000-0000-000052000000}"/>
    <cellStyle name="Hanging Dollars" xfId="95" xr:uid="{00000000-0005-0000-0000-000053000000}"/>
    <cellStyle name="Hanging Dollars 2" xfId="96" xr:uid="{00000000-0005-0000-0000-000054000000}"/>
    <cellStyle name="Head 1 - Style1" xfId="97" xr:uid="{00000000-0005-0000-0000-000055000000}"/>
    <cellStyle name="Header1" xfId="98" xr:uid="{00000000-0005-0000-0000-000056000000}"/>
    <cellStyle name="Header2" xfId="99" xr:uid="{00000000-0005-0000-0000-000057000000}"/>
    <cellStyle name="Heading" xfId="100" xr:uid="{00000000-0005-0000-0000-000058000000}"/>
    <cellStyle name="Heading 1 2" xfId="101" xr:uid="{00000000-0005-0000-0000-000059000000}"/>
    <cellStyle name="Heading 2 2" xfId="102" xr:uid="{00000000-0005-0000-0000-00005A000000}"/>
    <cellStyle name="Heading 3 2" xfId="103" xr:uid="{00000000-0005-0000-0000-00005B000000}"/>
    <cellStyle name="Heading 4 2" xfId="104" xr:uid="{00000000-0005-0000-0000-00005C000000}"/>
    <cellStyle name="Hyperlink" xfId="4" builtinId="8"/>
    <cellStyle name="Input [yellow]" xfId="5" xr:uid="{00000000-0005-0000-0000-00005E000000}"/>
    <cellStyle name="Input [yellow] 2" xfId="105" xr:uid="{00000000-0005-0000-0000-00005F000000}"/>
    <cellStyle name="Input 2" xfId="106" xr:uid="{00000000-0005-0000-0000-000060000000}"/>
    <cellStyle name="Input 3" xfId="107" xr:uid="{00000000-0005-0000-0000-000061000000}"/>
    <cellStyle name="Intermediate Calculations" xfId="108" xr:uid="{00000000-0005-0000-0000-000062000000}"/>
    <cellStyle name="ITALIC" xfId="109" xr:uid="{00000000-0005-0000-0000-000063000000}"/>
    <cellStyle name="Label - Style3" xfId="110" xr:uid="{00000000-0005-0000-0000-000064000000}"/>
    <cellStyle name="Labels - Style3" xfId="111" xr:uid="{00000000-0005-0000-0000-000065000000}"/>
    <cellStyle name="Level 1" xfId="112" xr:uid="{00000000-0005-0000-0000-000066000000}"/>
    <cellStyle name="Level 2" xfId="113" xr:uid="{00000000-0005-0000-0000-000067000000}"/>
    <cellStyle name="Level 3" xfId="114" xr:uid="{00000000-0005-0000-0000-000068000000}"/>
    <cellStyle name="Linked Cell 2" xfId="115" xr:uid="{00000000-0005-0000-0000-000069000000}"/>
    <cellStyle name="Member" xfId="116" xr:uid="{00000000-0005-0000-0000-00006A000000}"/>
    <cellStyle name="Member 2" xfId="117" xr:uid="{00000000-0005-0000-0000-00006B000000}"/>
    <cellStyle name="Neutral 2" xfId="118" xr:uid="{00000000-0005-0000-0000-00006C000000}"/>
    <cellStyle name="no dec" xfId="119" xr:uid="{00000000-0005-0000-0000-00006D000000}"/>
    <cellStyle name="Normal" xfId="0" builtinId="0"/>
    <cellStyle name="Normal - Style1" xfId="6" xr:uid="{00000000-0005-0000-0000-00006F000000}"/>
    <cellStyle name="Normal 10" xfId="120" xr:uid="{00000000-0005-0000-0000-000070000000}"/>
    <cellStyle name="Normal 2" xfId="7" xr:uid="{00000000-0005-0000-0000-000071000000}"/>
    <cellStyle name="Normal 2 2" xfId="121" xr:uid="{00000000-0005-0000-0000-000072000000}"/>
    <cellStyle name="Normal 2 3" xfId="122" xr:uid="{00000000-0005-0000-0000-000073000000}"/>
    <cellStyle name="Normal 23 2" xfId="188" xr:uid="{00000000-0005-0000-0000-000074000000}"/>
    <cellStyle name="Normal 3" xfId="16" xr:uid="{00000000-0005-0000-0000-000075000000}"/>
    <cellStyle name="Normal 3 2" xfId="123" xr:uid="{00000000-0005-0000-0000-000076000000}"/>
    <cellStyle name="Normal 4" xfId="17" xr:uid="{00000000-0005-0000-0000-000077000000}"/>
    <cellStyle name="Normal 4 2" xfId="184" xr:uid="{00000000-0005-0000-0000-000078000000}"/>
    <cellStyle name="Normal 5" xfId="124" xr:uid="{00000000-0005-0000-0000-000079000000}"/>
    <cellStyle name="Normal 6" xfId="125" xr:uid="{00000000-0005-0000-0000-00007A000000}"/>
    <cellStyle name="Normal 7" xfId="126" xr:uid="{00000000-0005-0000-0000-00007B000000}"/>
    <cellStyle name="Normal 7 2" xfId="127" xr:uid="{00000000-0005-0000-0000-00007C000000}"/>
    <cellStyle name="Normal 8" xfId="128" xr:uid="{00000000-0005-0000-0000-00007D000000}"/>
    <cellStyle name="Normal 9" xfId="129" xr:uid="{00000000-0005-0000-0000-00007E000000}"/>
    <cellStyle name="Note 2" xfId="130" xr:uid="{00000000-0005-0000-0000-000080000000}"/>
    <cellStyle name="Number" xfId="8" xr:uid="{00000000-0005-0000-0000-000081000000}"/>
    <cellStyle name="Number 2" xfId="131" xr:uid="{00000000-0005-0000-0000-000082000000}"/>
    <cellStyle name="Output 2" xfId="132" xr:uid="{00000000-0005-0000-0000-000083000000}"/>
    <cellStyle name="Percen - Style4" xfId="133" xr:uid="{00000000-0005-0000-0000-000084000000}"/>
    <cellStyle name="Percent" xfId="182" builtinId="5"/>
    <cellStyle name="Percent [2]" xfId="9" xr:uid="{00000000-0005-0000-0000-000086000000}"/>
    <cellStyle name="Percent [2] 2" xfId="134" xr:uid="{00000000-0005-0000-0000-000087000000}"/>
    <cellStyle name="Percent 0" xfId="135" xr:uid="{00000000-0005-0000-0000-000088000000}"/>
    <cellStyle name="Percent 2" xfId="136" xr:uid="{00000000-0005-0000-0000-000089000000}"/>
    <cellStyle name="Percent 2 2" xfId="137" xr:uid="{00000000-0005-0000-0000-00008A000000}"/>
    <cellStyle name="Percent 3" xfId="138" xr:uid="{00000000-0005-0000-0000-00008B000000}"/>
    <cellStyle name="Percent 3 2" xfId="139" xr:uid="{00000000-0005-0000-0000-00008C000000}"/>
    <cellStyle name="Percent 4" xfId="140" xr:uid="{00000000-0005-0000-0000-00008D000000}"/>
    <cellStyle name="Percent 5" xfId="141" xr:uid="{00000000-0005-0000-0000-00008E000000}"/>
    <cellStyle name="PH Name" xfId="142" xr:uid="{00000000-0005-0000-0000-00008F000000}"/>
    <cellStyle name="PH Name 2" xfId="143" xr:uid="{00000000-0005-0000-0000-000090000000}"/>
    <cellStyle name="PH Name_Aetna Renewal" xfId="144" xr:uid="{00000000-0005-0000-0000-000091000000}"/>
    <cellStyle name="PH Number" xfId="145" xr:uid="{00000000-0005-0000-0000-000092000000}"/>
    <cellStyle name="PH Number 2" xfId="146" xr:uid="{00000000-0005-0000-0000-000093000000}"/>
    <cellStyle name="PH Number_Aetna Renewal" xfId="147" xr:uid="{00000000-0005-0000-0000-000094000000}"/>
    <cellStyle name="PSChar" xfId="10" xr:uid="{00000000-0005-0000-0000-000095000000}"/>
    <cellStyle name="PSDate" xfId="11" xr:uid="{00000000-0005-0000-0000-000096000000}"/>
    <cellStyle name="PSDec" xfId="12" xr:uid="{00000000-0005-0000-0000-000097000000}"/>
    <cellStyle name="PSHeading" xfId="13" xr:uid="{00000000-0005-0000-0000-000098000000}"/>
    <cellStyle name="PSInt" xfId="14" xr:uid="{00000000-0005-0000-0000-000099000000}"/>
    <cellStyle name="PSSpacer" xfId="15" xr:uid="{00000000-0005-0000-0000-00009A000000}"/>
    <cellStyle name="Pull Quotes" xfId="148" xr:uid="{00000000-0005-0000-0000-00009B000000}"/>
    <cellStyle name="Pull Quotes 2" xfId="149" xr:uid="{00000000-0005-0000-0000-00009C000000}"/>
    <cellStyle name="Pull Quotes_Serv Fee exhibit" xfId="150" xr:uid="{00000000-0005-0000-0000-00009D000000}"/>
    <cellStyle name="Question" xfId="151" xr:uid="{00000000-0005-0000-0000-00009E000000}"/>
    <cellStyle name="Reset  - Style7" xfId="152" xr:uid="{00000000-0005-0000-0000-00009F000000}"/>
    <cellStyle name="Reset - Style7" xfId="153" xr:uid="{00000000-0005-0000-0000-0000A0000000}"/>
    <cellStyle name="RevList" xfId="154" xr:uid="{00000000-0005-0000-0000-0000A1000000}"/>
    <cellStyle name="Special" xfId="155" xr:uid="{00000000-0005-0000-0000-0000A2000000}"/>
    <cellStyle name="Special 2" xfId="156" xr:uid="{00000000-0005-0000-0000-0000A3000000}"/>
    <cellStyle name="Special1" xfId="157" xr:uid="{00000000-0005-0000-0000-0000A4000000}"/>
    <cellStyle name="Special1 2" xfId="158" xr:uid="{00000000-0005-0000-0000-0000A5000000}"/>
    <cellStyle name="Style 1" xfId="159" xr:uid="{00000000-0005-0000-0000-0000A6000000}"/>
    <cellStyle name="Style 1 2" xfId="160" xr:uid="{00000000-0005-0000-0000-0000A7000000}"/>
    <cellStyle name="Style_18" xfId="161" xr:uid="{00000000-0005-0000-0000-0000A8000000}"/>
    <cellStyle name="Subtitle" xfId="162" xr:uid="{00000000-0005-0000-0000-0000A9000000}"/>
    <cellStyle name="Subtotal" xfId="163" xr:uid="{00000000-0005-0000-0000-0000AA000000}"/>
    <cellStyle name="Table  - Style6" xfId="164" xr:uid="{00000000-0005-0000-0000-0000AB000000}"/>
    <cellStyle name="Table - Style6" xfId="165" xr:uid="{00000000-0005-0000-0000-0000AC000000}"/>
    <cellStyle name="Text" xfId="166" xr:uid="{00000000-0005-0000-0000-0000AD000000}"/>
    <cellStyle name="Text 2" xfId="167" xr:uid="{00000000-0005-0000-0000-0000AE000000}"/>
    <cellStyle name="Text_MM" xfId="185" xr:uid="{00000000-0005-0000-0000-0000AF000000}"/>
    <cellStyle name="TIN" xfId="168" xr:uid="{00000000-0005-0000-0000-0000B0000000}"/>
    <cellStyle name="Title  - Style1" xfId="169" xr:uid="{00000000-0005-0000-0000-0000B1000000}"/>
    <cellStyle name="Title - Style1" xfId="170" xr:uid="{00000000-0005-0000-0000-0000B2000000}"/>
    <cellStyle name="Title 2" xfId="171" xr:uid="{00000000-0005-0000-0000-0000B3000000}"/>
    <cellStyle name="Title 3" xfId="172" xr:uid="{00000000-0005-0000-0000-0000B4000000}"/>
    <cellStyle name="Titles" xfId="173" xr:uid="{00000000-0005-0000-0000-0000B5000000}"/>
    <cellStyle name="Titles 2" xfId="174" xr:uid="{00000000-0005-0000-0000-0000B6000000}"/>
    <cellStyle name="Titles_Serv Fee exhibit" xfId="175" xr:uid="{00000000-0005-0000-0000-0000B7000000}"/>
    <cellStyle name="Total 2" xfId="176" xr:uid="{00000000-0005-0000-0000-0000B8000000}"/>
    <cellStyle name="TotCo - Style5" xfId="177" xr:uid="{00000000-0005-0000-0000-0000B9000000}"/>
    <cellStyle name="TotCol - Style5" xfId="178" xr:uid="{00000000-0005-0000-0000-0000BA000000}"/>
    <cellStyle name="TotRo - Style4" xfId="179" xr:uid="{00000000-0005-0000-0000-0000BB000000}"/>
    <cellStyle name="TotRow - Style4" xfId="180" xr:uid="{00000000-0005-0000-0000-0000BC000000}"/>
    <cellStyle name="Warning Text 2" xfId="181" xr:uid="{00000000-0005-0000-0000-0000BD000000}"/>
  </cellStyles>
  <dxfs count="8">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04040"/>
      <rgbColor rgb="007FB21C"/>
      <rgbColor rgb="00277016"/>
      <rgbColor rgb="00BF7171"/>
      <rgbColor rgb="00707070"/>
      <rgbColor rgb="006DCCC8"/>
      <rgbColor rgb="00E60000"/>
      <rgbColor rgb="003E4A26"/>
      <rgbColor rgb="000C4000"/>
      <rgbColor rgb="00701616"/>
      <rgbColor rgb="00F2A25E"/>
      <rgbColor rgb="001D6663"/>
      <rgbColor rgb="00F5F5F5"/>
      <rgbColor rgb="00BFBFBF"/>
      <rgbColor rgb="00052540"/>
      <rgbColor rgb="001F4B73"/>
      <rgbColor rgb="004E7DA6"/>
      <rgbColor rgb="0081A2BF"/>
      <rgbColor rgb="00C3CED9"/>
      <rgbColor rgb="00F0F0F0"/>
      <rgbColor rgb="000066CC"/>
      <rgbColor rgb="00CCCCFF"/>
      <rgbColor rgb="00404040"/>
      <rgbColor rgb="00707070"/>
      <rgbColor rgb="00A6A6A6"/>
      <rgbColor rgb="00BFBFBF"/>
      <rgbColor rgb="00D9D9D9"/>
      <rgbColor rgb="00800000"/>
      <rgbColor rgb="00008080"/>
      <rgbColor rgb="000000FF"/>
      <rgbColor rgb="0080BF71"/>
      <rgbColor rgb="00B4FFFC"/>
      <rgbColor rgb="0097E519"/>
      <rgbColor rgb="00D9B1B1"/>
      <rgbColor rgb="00B8D9B1"/>
      <rgbColor rgb="00A6A6A6"/>
      <rgbColor rgb="00FFE5D0"/>
      <rgbColor rgb="00C3CED9"/>
      <rgbColor rgb="0053A640"/>
      <rgbColor rgb="003D9995"/>
      <rgbColor rgb="00A64040"/>
      <rgbColor rgb="0081A2BF"/>
      <rgbColor rgb="004E7DA6"/>
      <rgbColor rgb="001F4B70"/>
      <rgbColor rgb="00E5812D"/>
      <rgbColor rgb="00DCDCDC"/>
      <rgbColor rgb="0000403D"/>
      <rgbColor rgb="00637F2B"/>
      <rgbColor rgb="0023261C"/>
      <rgbColor rgb="00400000"/>
      <rgbColor rgb="00052540"/>
      <rgbColor rgb="00F9C293"/>
      <rgbColor rgb="0033546F"/>
      <rgbColor rgb="00D96300"/>
    </indexedColors>
    <mruColors>
      <color rgb="FF0000FF"/>
      <color rgb="FFF5F5F5"/>
      <color rgb="FFFFCC99"/>
      <color rgb="FFB8D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J$4"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10</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0</xdr:rowOff>
        </xdr:from>
        <xdr:to>
          <xdr:col>7</xdr:col>
          <xdr:colOff>0</xdr:colOff>
          <xdr:row>5</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0</xdr:rowOff>
        </xdr:from>
        <xdr:to>
          <xdr:col>7</xdr:col>
          <xdr:colOff>0</xdr:colOff>
          <xdr:row>6</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0</xdr:rowOff>
        </xdr:from>
        <xdr:to>
          <xdr:col>7</xdr:col>
          <xdr:colOff>0</xdr:colOff>
          <xdr:row>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0</xdr:rowOff>
        </xdr:from>
        <xdr:to>
          <xdr:col>7</xdr:col>
          <xdr:colOff>0</xdr:colOff>
          <xdr:row>8</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0</xdr:rowOff>
        </xdr:from>
        <xdr:to>
          <xdr:col>7</xdr:col>
          <xdr:colOff>0</xdr:colOff>
          <xdr:row>9</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xdr:row>
          <xdr:rowOff>0</xdr:rowOff>
        </xdr:from>
        <xdr:to>
          <xdr:col>7</xdr:col>
          <xdr:colOff>0</xdr:colOff>
          <xdr:row>10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etnet.aetna.com/Documents%20and%20Settings/a709045/Local%20Settings/Temp/Level%20b%2025K_2316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cal%20Plans%20Cost%20Estimator%202022-23%20Under%20$85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efreshError="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efreshError="1">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cell r="B11"/>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cell r="B43"/>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efreshError="1">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efreshError="1">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row>
        <row r="28">
          <cell r="C28">
            <v>30530.25</v>
          </cell>
          <cell r="E28">
            <v>0</v>
          </cell>
          <cell r="G28">
            <v>30530.25</v>
          </cell>
          <cell r="I28" t="str">
            <v>784.7</v>
          </cell>
          <cell r="J28" t="str">
            <v>Epistaxis</v>
          </cell>
          <cell r="L28" t="str">
            <v>Yes</v>
          </cell>
          <cell r="N28" t="str">
            <v>Yes</v>
          </cell>
          <cell r="P28" t="str">
            <v>No</v>
          </cell>
          <cell r="R28" t="str">
            <v>N/A</v>
          </cell>
          <cell r="T28" t="str">
            <v>N/A</v>
          </cell>
          <cell r="V28"/>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cell r="C10"/>
          <cell r="E10"/>
          <cell r="G10"/>
          <cell r="I10"/>
          <cell r="K10"/>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cell r="C35"/>
          <cell r="E35"/>
          <cell r="G35"/>
          <cell r="I35"/>
          <cell r="K35"/>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efreshError="1">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row>
        <row r="23">
          <cell r="B23">
            <v>20050407</v>
          </cell>
          <cell r="D23" t="str">
            <v>20050131</v>
          </cell>
        </row>
        <row r="24">
          <cell r="D24"/>
        </row>
        <row r="25">
          <cell r="D25" t="str">
            <v>20040131</v>
          </cell>
        </row>
        <row r="26">
          <cell r="B26">
            <v>0</v>
          </cell>
        </row>
        <row r="27">
          <cell r="B27">
            <v>0</v>
          </cell>
        </row>
        <row r="28">
          <cell r="B28">
            <v>0</v>
          </cell>
        </row>
        <row r="29">
          <cell r="B29">
            <v>1</v>
          </cell>
        </row>
      </sheetData>
      <sheetData sheetId="64" refreshError="1">
        <row r="7">
          <cell r="E7">
            <v>0</v>
          </cell>
          <cell r="G7">
            <v>0</v>
          </cell>
          <cell r="I7">
            <v>0</v>
          </cell>
          <cell r="K7">
            <v>3</v>
          </cell>
          <cell r="L7">
            <v>3</v>
          </cell>
          <cell r="N7">
            <v>3</v>
          </cell>
          <cell r="P7">
            <v>3</v>
          </cell>
          <cell r="R7">
            <v>3</v>
          </cell>
        </row>
      </sheetData>
      <sheetData sheetId="65" refreshError="1">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efreshError="1">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efreshError="1">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efreshError="1">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efreshError="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efreshError="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efreshError="1">
        <row r="3">
          <cell r="D3">
            <v>10</v>
          </cell>
        </row>
      </sheetData>
      <sheetData sheetId="78" refreshError="1">
        <row r="1">
          <cell r="E1">
            <v>5</v>
          </cell>
        </row>
        <row r="12">
          <cell r="B12">
            <v>4</v>
          </cell>
        </row>
        <row r="24">
          <cell r="A24">
            <v>56570</v>
          </cell>
        </row>
      </sheetData>
      <sheetData sheetId="79" refreshError="1"/>
      <sheetData sheetId="80" refreshError="1">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st Estimator"/>
      <sheetName val="Tax Savings"/>
      <sheetName val="Benefit Summary"/>
      <sheetName val="Asmpt"/>
      <sheetName val="Plan 1 Calcs"/>
      <sheetName val="Plan 2 Calcs"/>
      <sheetName val="Plan 3 Calcs"/>
    </sheetNames>
    <sheetDataSet>
      <sheetData sheetId="0" refreshError="1"/>
      <sheetData sheetId="1" refreshError="1"/>
      <sheetData sheetId="2" refreshError="1"/>
      <sheetData sheetId="3" refreshError="1"/>
      <sheetData sheetId="4">
        <row r="5">
          <cell r="B5" t="str">
            <v>Green Diamond Resource Company</v>
          </cell>
        </row>
        <row r="40">
          <cell r="C40" t="str">
            <v>HSP Plan</v>
          </cell>
        </row>
      </sheetData>
      <sheetData sheetId="5" refreshError="1"/>
      <sheetData sheetId="6" refreshError="1"/>
      <sheetData sheetId="7" refreshError="1"/>
    </sheetDataSet>
  </externalBook>
</externalLink>
</file>

<file path=xl/theme/theme1.xml><?xml version="1.0" encoding="utf-8"?>
<a:theme xmlns:a="http://schemas.openxmlformats.org/drawingml/2006/main" name="MCM">
  <a:themeElements>
    <a:clrScheme name="SMK2">
      <a:dk1>
        <a:sysClr val="windowText" lastClr="000000"/>
      </a:dk1>
      <a:lt1>
        <a:sysClr val="window" lastClr="FFFFFF"/>
      </a:lt1>
      <a:dk2>
        <a:srgbClr val="1F497D"/>
      </a:dk2>
      <a:lt2>
        <a:srgbClr val="EEECE1"/>
      </a:lt2>
      <a:accent1>
        <a:srgbClr val="0000FF"/>
      </a:accent1>
      <a:accent2>
        <a:srgbClr val="FF0000"/>
      </a:accent2>
      <a:accent3>
        <a:srgbClr val="00B000"/>
      </a:accent3>
      <a:accent4>
        <a:srgbClr val="800080"/>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7"/>
  <sheetViews>
    <sheetView showGridLines="0" tabSelected="1" zoomScaleNormal="100" workbookViewId="0">
      <selection activeCell="F1" sqref="F1"/>
    </sheetView>
  </sheetViews>
  <sheetFormatPr defaultColWidth="9.140625" defaultRowHeight="15" outlineLevelRow="1"/>
  <cols>
    <col min="1" max="2" width="3.7109375" style="130" customWidth="1"/>
    <col min="3" max="3" width="100.42578125" style="130" customWidth="1"/>
    <col min="4" max="5" width="3.7109375" style="130" customWidth="1"/>
    <col min="6" max="16384" width="9.140625" style="130"/>
  </cols>
  <sheetData>
    <row r="1" spans="1:5" ht="18.75">
      <c r="A1" s="248"/>
      <c r="B1" s="249"/>
      <c r="C1" s="250" t="s">
        <v>128</v>
      </c>
      <c r="D1" s="249"/>
      <c r="E1" s="251"/>
    </row>
    <row r="2" spans="1:5">
      <c r="A2" s="131"/>
      <c r="B2" s="132"/>
      <c r="C2" s="132"/>
      <c r="D2" s="132"/>
      <c r="E2" s="133"/>
    </row>
    <row r="3" spans="1:5" ht="54.75" customHeight="1">
      <c r="A3" s="131"/>
      <c r="B3" s="134" t="s">
        <v>7</v>
      </c>
      <c r="C3" s="135" t="str">
        <f>Asmpt!A203</f>
        <v xml:space="preserve">This tool illustrates your projected out-of-pocket cost for each Green Diamond Resource Company medical/pharmacy plan. 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v>
      </c>
      <c r="D3" s="132"/>
      <c r="E3" s="133"/>
    </row>
    <row r="4" spans="1:5" ht="42" customHeight="1">
      <c r="A4" s="131"/>
      <c r="B4" s="134" t="s">
        <v>8</v>
      </c>
      <c r="C4" s="135" t="s">
        <v>178</v>
      </c>
      <c r="D4" s="132"/>
      <c r="E4" s="133"/>
    </row>
    <row r="5" spans="1:5" ht="27.75" customHeight="1">
      <c r="A5" s="131"/>
      <c r="B5" s="134"/>
      <c r="C5" s="136" t="str">
        <f>"Question #1: Enter the level of coverage you will elect for the "&amp;Asmpt!B10&amp;" plan year ("&amp;TEXT(Asmpt!B11,"mmmm d, yyyy")&amp;" – "&amp;TEXT(Asmpt!B12,"mmmm d, yyyy")&amp;").  Unless you have a qualifying life event, you cannot change this election until next open enrollment."</f>
        <v>Question #1: Enter the level of coverage you will elect for the 2022-23 plan year (July 1, 2022 – June 30, 2023).  Unless you have a qualifying life event, you cannot change this election until next open enrollment.</v>
      </c>
      <c r="D5" s="132"/>
      <c r="E5" s="133"/>
    </row>
    <row r="6" spans="1:5" ht="17.100000000000001" customHeight="1">
      <c r="A6" s="131"/>
      <c r="B6" s="134"/>
      <c r="C6" s="136" t="s">
        <v>137</v>
      </c>
      <c r="D6" s="132"/>
      <c r="E6" s="133"/>
    </row>
    <row r="7" spans="1:5" ht="42" customHeight="1">
      <c r="A7" s="131"/>
      <c r="B7" s="134"/>
      <c r="C7" s="136" t="s">
        <v>246</v>
      </c>
      <c r="D7" s="132"/>
      <c r="E7" s="133"/>
    </row>
    <row r="8" spans="1:5" ht="17.100000000000001" customHeight="1">
      <c r="A8" s="131"/>
      <c r="B8" s="134"/>
      <c r="C8" s="136" t="s">
        <v>138</v>
      </c>
      <c r="D8" s="132"/>
      <c r="E8" s="133"/>
    </row>
    <row r="9" spans="1:5" ht="54.75" customHeight="1">
      <c r="A9" s="131"/>
      <c r="B9" s="134"/>
      <c r="C9" s="136" t="s">
        <v>173</v>
      </c>
      <c r="D9" s="132"/>
      <c r="E9" s="133"/>
    </row>
    <row r="10" spans="1:5" ht="17.100000000000001" customHeight="1">
      <c r="A10" s="131"/>
      <c r="B10" s="134"/>
      <c r="C10" s="136" t="s">
        <v>139</v>
      </c>
      <c r="D10" s="132"/>
      <c r="E10" s="133"/>
    </row>
    <row r="11" spans="1:5" ht="40.5" customHeight="1">
      <c r="A11" s="131"/>
      <c r="B11" s="134"/>
      <c r="C11" s="136" t="str">
        <f>Asmpt!A207</f>
        <v xml:space="preserve">Question #7: If you are considering the HSP Plan, enter the annual health savings account (HSA) contribution you plan to make (not including the amount your employer will deposit in your HSA).  This answer does not impact the out-of-pocket estimate, but is used on the "Tax Savings" tab. </v>
      </c>
      <c r="D11" s="132"/>
      <c r="E11" s="133"/>
    </row>
    <row r="12" spans="1:5" ht="42" customHeight="1">
      <c r="A12" s="131"/>
      <c r="B12" s="134" t="s">
        <v>9</v>
      </c>
      <c r="C12" s="135" t="s">
        <v>33</v>
      </c>
      <c r="D12" s="132"/>
      <c r="E12" s="133"/>
    </row>
    <row r="13" spans="1:5" ht="55.5" customHeight="1">
      <c r="A13" s="131"/>
      <c r="B13" s="134" t="s">
        <v>10</v>
      </c>
      <c r="C13" s="135" t="s">
        <v>247</v>
      </c>
      <c r="D13" s="132"/>
      <c r="E13" s="133"/>
    </row>
    <row r="14" spans="1:5">
      <c r="A14" s="131"/>
      <c r="B14" s="134" t="s">
        <v>11</v>
      </c>
      <c r="C14" s="135" t="s">
        <v>17</v>
      </c>
      <c r="D14" s="132"/>
      <c r="E14" s="133"/>
    </row>
    <row r="15" spans="1:5" ht="17.100000000000001" customHeight="1">
      <c r="A15" s="131"/>
      <c r="B15" s="134"/>
      <c r="C15" s="170" t="s">
        <v>18</v>
      </c>
      <c r="D15" s="132"/>
      <c r="E15" s="133"/>
    </row>
    <row r="16" spans="1:5" ht="17.100000000000001" customHeight="1">
      <c r="A16" s="137"/>
      <c r="B16" s="138"/>
      <c r="C16" s="171" t="str">
        <f>"- All care is received from "&amp;Carrier&amp;" in-network providers."</f>
        <v>- All care is received from Premera in-network providers.</v>
      </c>
      <c r="D16" s="139"/>
      <c r="E16" s="140"/>
    </row>
    <row r="17" spans="1:5" ht="17.100000000000001" customHeight="1">
      <c r="A17" s="137"/>
      <c r="B17" s="138"/>
      <c r="C17" s="171" t="str">
        <f>"- You are not subject to the $100/month working spouse and/or tobacco-user surcharges."</f>
        <v>- You are not subject to the $100/month working spouse and/or tobacco-user surcharges.</v>
      </c>
      <c r="D17" s="139"/>
      <c r="E17" s="140"/>
    </row>
    <row r="18" spans="1:5" ht="28.5" customHeight="1">
      <c r="A18" s="131"/>
      <c r="B18" s="134"/>
      <c r="C18" s="171" t="str">
        <f>"- Office visit average costs: "&amp;TEXT(Cost_PCPOV,"$#,###")&amp;" primary care, "&amp;TEXT(Cost_PhysOcc,"$#,###")&amp;" physical/occupational therapy and massage, "&amp;TEXT(Cost_AltCareOV,"$#,###")&amp;" chiropractic/acupuncture and "&amp;TEXT(Cost_SpecOV,"$#,###")&amp;" for medical or surgical specialists."</f>
        <v>- Office visit average costs: $205 primary care, $140 physical/occupational therapy and massage, $82 chiropractic/acupuncture and $350 for medical or surgical specialists.</v>
      </c>
      <c r="D18" s="132"/>
      <c r="E18" s="133"/>
    </row>
    <row r="19" spans="1:5">
      <c r="A19" s="131"/>
      <c r="B19" s="134"/>
      <c r="C19" s="171" t="str">
        <f>"- Lab and x-ray services cost an average of "&amp;TEXT(Cost__Lab,"$#,###")&amp;" per service."</f>
        <v>- Lab and x-ray services cost an average of $225 per service.</v>
      </c>
      <c r="D19" s="132"/>
      <c r="E19" s="133"/>
    </row>
    <row r="20" spans="1:5" ht="29.25" customHeight="1">
      <c r="A20" s="131"/>
      <c r="B20" s="134"/>
      <c r="C20" s="171" t="str">
        <f>"- MRI/CT/PET scans cost an average of "&amp;TEXT(Cost_MRI,"$#,#,###")&amp;" per service. (Actual costs vary significantly depending on facility, body part and whether contrast is used)."</f>
        <v>- MRI/CT/PET scans cost an average of $2,300 per service. (Actual costs vary significantly depending on facility, body part and whether contrast is used).</v>
      </c>
      <c r="D20" s="132"/>
      <c r="E20" s="133"/>
    </row>
    <row r="21" spans="1:5" hidden="1" outlineLevel="1">
      <c r="A21" s="131"/>
      <c r="B21" s="134"/>
      <c r="C21" s="171" t="s">
        <v>226</v>
      </c>
      <c r="D21" s="132"/>
      <c r="E21" s="133"/>
    </row>
    <row r="22" spans="1:5" ht="27.75" customHeight="1" collapsed="1">
      <c r="A22" s="131"/>
      <c r="B22" s="134"/>
      <c r="C22" s="171" t="str">
        <f>"- An average retail prescription costs "&amp;TEXT(Cost_GenRx,"$#,#,###")&amp;" / "&amp;TEXT(Cost_NonFormGenRx,"$#,#,###")&amp;" / "&amp;TEXT(Cost_BrandRx,"$#,#,###")&amp;" / "&amp;TEXT(Cost_NonFormBrandRx,"$#,#,###")&amp;" per month (preferred generic/non-preferred generic/preferred brand/non-preferred brand)."</f>
        <v>- An average retail prescription costs $33 / $95 / $315 / $390 per month (preferred generic/non-preferred generic/preferred brand/non-preferred brand).</v>
      </c>
      <c r="D22" s="132"/>
      <c r="E22" s="133"/>
    </row>
    <row r="23" spans="1:5" ht="27" customHeight="1">
      <c r="A23" s="131"/>
      <c r="B23" s="134"/>
      <c r="C23" s="171" t="str">
        <f>"- An average mail order prescription costs "&amp;TEXT(Cost_GenRxMOrd,"$#,###")&amp;" / "&amp;TEXT(Cost_NonFormGenRxMOrd,"$#,###")&amp;" / "&amp;TEXT(Cost_BrandRxMord,"$#,###")&amp;" / "&amp;TEXT(Cost_NonFormBrandRxMOrd,"$#,###")&amp;" per month (preferred generic/non-preferred generic/preferred brand/non-preferred brand)."</f>
        <v>- An average mail order prescription costs $90 / $135 / $1,750 / $2,450 per month (preferred generic/non-preferred generic/preferred brand/non-preferred brand).</v>
      </c>
      <c r="D23" s="132"/>
      <c r="E23" s="133"/>
    </row>
    <row r="24" spans="1:5" ht="29.25" customHeight="1">
      <c r="A24" s="131"/>
      <c r="B24" s="134"/>
      <c r="C24" s="171" t="str">
        <f>"- An average specialty prescription costs "&amp;TEXT(Cost_SpecRx,"$#,###")&amp;" / "&amp;TEXT(Cost_NonFormSpecRx,"$#,###")&amp;" per month (preferred/non-preferred). This tool does not reflect any copay assistance that may be available from the manufacturer of a specialty drug."</f>
        <v>- An average specialty prescription costs $6,500 / $6,500 per month (preferred/non-preferred). This tool does not reflect any copay assistance that may be available from the manufacturer of a specialty drug.</v>
      </c>
      <c r="D24" s="132"/>
      <c r="E24" s="133"/>
    </row>
    <row r="25" spans="1:5" ht="17.25" customHeight="1">
      <c r="A25" s="131"/>
      <c r="B25" s="134"/>
      <c r="C25" s="171" t="s">
        <v>121</v>
      </c>
      <c r="D25" s="132"/>
      <c r="E25" s="133"/>
    </row>
    <row r="26" spans="1:5" ht="31.5" customHeight="1">
      <c r="A26" s="131"/>
      <c r="B26" s="134" t="s">
        <v>12</v>
      </c>
      <c r="C26" s="135" t="s">
        <v>32</v>
      </c>
      <c r="D26" s="132"/>
      <c r="E26" s="133"/>
    </row>
    <row r="27" spans="1:5" ht="15.75" thickBot="1">
      <c r="A27" s="141"/>
      <c r="B27" s="142" t="s">
        <v>13</v>
      </c>
      <c r="C27" s="143" t="s">
        <v>130</v>
      </c>
      <c r="D27" s="144"/>
      <c r="E27" s="145"/>
    </row>
  </sheetData>
  <sheetProtection algorithmName="SHA-512" hashValue="C6BkGn8PYznSSMZsJgrM5MHminx6jMw83te3a9W/Maa1VYidpl8x/V5wv4HSQAyglNGQQUvB4FiM/jcNcaeO+A==" saltValue="gPxlGr2IKa/GRK9wbaETaA==" spinCount="100000" sheet="1" objects="1" scenarios="1"/>
  <pageMargins left="0.3" right="0.2" top="0.5" bottom="0.5" header="0.3" footer="0.2"/>
  <pageSetup scale="90" orientation="portrait" r:id="rId1"/>
  <headerFooter scaleWithDoc="0">
    <oddFooter>&amp;L&amp;6&amp;F
&amp;D&amp;T&amp;C&amp;"-,Bold"&amp;10Prepared by AssuredPartners</oddFooter>
  </headerFooter>
  <ignoredErrors>
    <ignoredError sqref="B25:B27 B3:B16 B18:B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01"/>
  <sheetViews>
    <sheetView showGridLines="0" topLeftCell="A38" zoomScaleNormal="100" workbookViewId="0">
      <selection activeCell="C57" sqref="C57"/>
    </sheetView>
  </sheetViews>
  <sheetFormatPr defaultColWidth="9.140625" defaultRowHeight="12.75" outlineLevelRow="1"/>
  <cols>
    <col min="1" max="1" width="1.5703125" style="1" customWidth="1"/>
    <col min="2" max="2" width="4.5703125" style="1" customWidth="1"/>
    <col min="3" max="3" width="85.42578125" style="2" customWidth="1"/>
    <col min="4" max="7" width="12.7109375" style="3" customWidth="1"/>
    <col min="8" max="8" width="4.5703125" style="1" customWidth="1"/>
    <col min="9" max="9" width="1.5703125" style="32" customWidth="1"/>
    <col min="10" max="10" width="10.7109375" style="217" hidden="1" customWidth="1"/>
    <col min="11" max="11" width="10.7109375" style="218" hidden="1" customWidth="1"/>
    <col min="12" max="16384" width="9.140625" style="32"/>
  </cols>
  <sheetData>
    <row r="1" spans="2:11" ht="10.15" customHeight="1">
      <c r="I1" s="30"/>
      <c r="J1" s="217" t="s">
        <v>209</v>
      </c>
      <c r="K1" s="217" t="s">
        <v>209</v>
      </c>
    </row>
    <row r="2" spans="2:11" ht="20.100000000000001" customHeight="1">
      <c r="B2" s="245"/>
      <c r="C2" s="246" t="s">
        <v>129</v>
      </c>
      <c r="D2" s="247"/>
      <c r="E2" s="247"/>
      <c r="F2" s="247"/>
      <c r="G2" s="247"/>
      <c r="H2" s="245"/>
    </row>
    <row r="3" spans="2:11" ht="5.0999999999999996" customHeight="1">
      <c r="B3" s="154"/>
      <c r="C3" s="155"/>
      <c r="D3" s="154"/>
      <c r="E3" s="154"/>
      <c r="F3" s="154"/>
      <c r="G3" s="154"/>
      <c r="H3" s="156"/>
    </row>
    <row r="4" spans="2:11" ht="44.25" customHeight="1">
      <c r="B4" s="157" t="s">
        <v>7</v>
      </c>
      <c r="C4" s="158" t="str">
        <f>"Select your coverage level for the "&amp;Asmpt!B10&amp;" plan year ("&amp;TEXT(Asmpt!B11,"mmmm d, yyyy")&amp;" – "&amp;TEXT(Asmpt!B12,"mmmm d, yyyy")&amp;") by clicking the appropropriate button on the right."</f>
        <v>Select your coverage level for the 2022-23 plan year (July 1, 2022 – June 30, 2023) by clicking the appropropriate button on the right.</v>
      </c>
      <c r="D4" s="154"/>
      <c r="E4" s="159"/>
      <c r="F4" s="159"/>
      <c r="G4" s="159"/>
      <c r="H4" s="156"/>
      <c r="J4" s="219">
        <v>1</v>
      </c>
      <c r="K4" s="218" t="s">
        <v>156</v>
      </c>
    </row>
    <row r="5" spans="2:11" ht="20.100000000000001" customHeight="1">
      <c r="B5" s="154"/>
      <c r="C5" s="160"/>
      <c r="D5" s="154"/>
      <c r="E5" s="154"/>
      <c r="F5" s="161" t="s">
        <v>2</v>
      </c>
      <c r="G5" s="153"/>
      <c r="H5" s="156"/>
      <c r="J5" s="217">
        <f>IF($J$4=1,1,0)</f>
        <v>1</v>
      </c>
      <c r="K5" s="218">
        <v>1</v>
      </c>
    </row>
    <row r="6" spans="2:11" ht="20.100000000000001" customHeight="1">
      <c r="B6" s="154"/>
      <c r="C6" s="160"/>
      <c r="D6" s="154"/>
      <c r="E6" s="154"/>
      <c r="F6" s="161" t="s">
        <v>31</v>
      </c>
      <c r="G6" s="153"/>
      <c r="H6" s="156"/>
      <c r="J6" s="217">
        <f>IF($J$4=2,1,0)</f>
        <v>0</v>
      </c>
      <c r="K6" s="218">
        <v>2</v>
      </c>
    </row>
    <row r="7" spans="2:11" ht="20.100000000000001" customHeight="1">
      <c r="B7" s="154"/>
      <c r="C7" s="160"/>
      <c r="D7" s="154"/>
      <c r="E7" s="154"/>
      <c r="F7" s="161" t="s">
        <v>26</v>
      </c>
      <c r="G7" s="153"/>
      <c r="H7" s="156"/>
      <c r="J7" s="217">
        <f>IF($J$4=3,1,0)</f>
        <v>0</v>
      </c>
      <c r="K7" s="218">
        <v>2</v>
      </c>
    </row>
    <row r="8" spans="2:11" ht="20.100000000000001" customHeight="1">
      <c r="B8" s="154"/>
      <c r="C8" s="160"/>
      <c r="D8" s="154"/>
      <c r="E8" s="154"/>
      <c r="F8" s="161" t="s">
        <v>19</v>
      </c>
      <c r="G8" s="153"/>
      <c r="H8" s="156"/>
      <c r="J8" s="217">
        <f>IF($J$4=4,1,0)</f>
        <v>0</v>
      </c>
      <c r="K8" s="218">
        <v>3</v>
      </c>
    </row>
    <row r="9" spans="2:11" ht="20.100000000000001" customHeight="1">
      <c r="B9" s="154"/>
      <c r="C9" s="160"/>
      <c r="D9" s="154"/>
      <c r="E9" s="154"/>
      <c r="F9" s="161" t="s">
        <v>24</v>
      </c>
      <c r="G9" s="153"/>
      <c r="H9" s="156"/>
      <c r="J9" s="217">
        <f>IF($J$4=5,1,0)</f>
        <v>0</v>
      </c>
      <c r="K9" s="218">
        <v>3</v>
      </c>
    </row>
    <row r="10" spans="2:11" ht="20.100000000000001" customHeight="1">
      <c r="B10" s="154"/>
      <c r="C10" s="162"/>
      <c r="D10" s="154"/>
      <c r="E10" s="154"/>
      <c r="F10" s="161" t="s">
        <v>23</v>
      </c>
      <c r="G10" s="153"/>
      <c r="H10" s="156"/>
      <c r="J10" s="217">
        <f>IF($J$4=6,1,0)</f>
        <v>0</v>
      </c>
      <c r="K10" s="218">
        <v>4</v>
      </c>
    </row>
    <row r="11" spans="2:11" ht="5.0999999999999996" customHeight="1">
      <c r="B11" s="154"/>
      <c r="C11" s="156"/>
      <c r="D11" s="154"/>
      <c r="E11" s="154"/>
      <c r="F11" s="154"/>
      <c r="G11" s="154"/>
      <c r="H11" s="156"/>
    </row>
    <row r="12" spans="2:11" ht="6" customHeight="1">
      <c r="B12" s="11"/>
      <c r="C12" s="12"/>
      <c r="D12" s="11"/>
      <c r="E12" s="11"/>
      <c r="F12" s="11"/>
      <c r="G12" s="11"/>
      <c r="H12" s="4"/>
    </row>
    <row r="13" spans="2:11" ht="5.0999999999999996" customHeight="1">
      <c r="B13" s="154"/>
      <c r="C13" s="156"/>
      <c r="D13" s="154"/>
      <c r="E13" s="154"/>
      <c r="F13" s="154"/>
      <c r="G13" s="154"/>
      <c r="H13" s="156"/>
    </row>
    <row r="14" spans="2:11" ht="51.75" customHeight="1">
      <c r="B14" s="157" t="s">
        <v>8</v>
      </c>
      <c r="C14" s="158" t="s">
        <v>243</v>
      </c>
      <c r="D14" s="163" t="s">
        <v>36</v>
      </c>
      <c r="E14" s="163" t="s">
        <v>232</v>
      </c>
      <c r="F14" s="163" t="s">
        <v>231</v>
      </c>
      <c r="G14" s="163" t="s">
        <v>22</v>
      </c>
      <c r="H14" s="164"/>
    </row>
    <row r="15" spans="2:11" ht="3.75" customHeight="1">
      <c r="B15" s="157"/>
      <c r="C15" s="158"/>
      <c r="D15" s="165"/>
      <c r="E15" s="165"/>
      <c r="F15" s="165"/>
      <c r="G15" s="165"/>
      <c r="H15" s="164"/>
    </row>
    <row r="16" spans="2:11" ht="15.4" customHeight="1">
      <c r="B16" s="154"/>
      <c r="C16" s="161" t="s">
        <v>21</v>
      </c>
      <c r="D16" s="169">
        <v>0</v>
      </c>
      <c r="E16" s="169">
        <v>0</v>
      </c>
      <c r="F16" s="169">
        <v>0</v>
      </c>
      <c r="G16" s="169">
        <v>0</v>
      </c>
      <c r="H16" s="156"/>
      <c r="J16" s="217">
        <f>INDEX(K5:K10,J4)*Asmpt!C21</f>
        <v>12</v>
      </c>
      <c r="K16" s="218">
        <f>INDEX(K5:K10,J4)*45</f>
        <v>45</v>
      </c>
    </row>
    <row r="17" spans="1:13" ht="24.75" customHeight="1">
      <c r="B17" s="154"/>
      <c r="C17" s="166" t="str">
        <f>IF(OR(D16&lt;0,E16&lt;0,F16&lt;0,G16&lt;0,ISERROR(D16+E16+F16+G16+1)),"Please enter non-negative numbers for office visits.","")</f>
        <v/>
      </c>
      <c r="D17" s="167"/>
      <c r="E17" s="168" t="str">
        <f>"Maximums apply, see note"</f>
        <v>Maximums apply, see note</v>
      </c>
      <c r="F17" s="168" t="str">
        <f>"Maximums apply, see note"</f>
        <v>Maximums apply, see note</v>
      </c>
      <c r="G17" s="167"/>
      <c r="H17" s="156"/>
    </row>
    <row r="18" spans="1:13" ht="5.0999999999999996" customHeight="1">
      <c r="B18" s="154"/>
      <c r="C18" s="156"/>
      <c r="D18" s="154"/>
      <c r="E18" s="154"/>
      <c r="F18" s="154"/>
      <c r="G18" s="154"/>
      <c r="H18" s="156"/>
    </row>
    <row r="19" spans="1:13" ht="6" customHeight="1">
      <c r="B19" s="11"/>
      <c r="C19" s="4"/>
      <c r="D19" s="11"/>
      <c r="E19" s="11"/>
      <c r="F19" s="11"/>
      <c r="G19" s="11"/>
      <c r="H19" s="4"/>
    </row>
    <row r="20" spans="1:13" ht="5.0999999999999996" customHeight="1">
      <c r="B20" s="5"/>
      <c r="C20" s="6"/>
      <c r="D20" s="5"/>
      <c r="E20" s="5"/>
      <c r="F20" s="5"/>
      <c r="G20" s="5"/>
      <c r="H20" s="6"/>
    </row>
    <row r="21" spans="1:13" customFormat="1" ht="93.75" customHeight="1">
      <c r="A21" s="1"/>
      <c r="B21" s="7" t="s">
        <v>9</v>
      </c>
      <c r="C21" s="242" t="s">
        <v>248</v>
      </c>
      <c r="D21" s="242"/>
      <c r="E21" s="14"/>
      <c r="F21" s="14"/>
      <c r="G21" s="14"/>
      <c r="H21" s="13"/>
      <c r="I21" s="32"/>
      <c r="J21" s="217"/>
      <c r="K21" s="220"/>
    </row>
    <row r="22" spans="1:13" customFormat="1" ht="18" customHeight="1">
      <c r="A22" s="1"/>
      <c r="B22" s="7"/>
      <c r="C22" s="204"/>
      <c r="D22" s="202"/>
      <c r="E22" s="8"/>
      <c r="F22" s="15" t="s">
        <v>14</v>
      </c>
      <c r="G22" s="15" t="s">
        <v>15</v>
      </c>
      <c r="H22" s="13"/>
      <c r="I22" s="32"/>
      <c r="J22" s="217"/>
      <c r="K22" s="220"/>
      <c r="M22" s="199"/>
    </row>
    <row r="23" spans="1:13" customFormat="1" ht="15.4" customHeight="1">
      <c r="A23" s="1"/>
      <c r="B23" s="5"/>
      <c r="C23" s="16" t="str">
        <f>IF(OR(MIN(F23:G30)&lt;0,ISERROR(SUM(F23:G30)+1)),"Please enter non-negative numbers for prescriptions.","")</f>
        <v/>
      </c>
      <c r="D23" s="202"/>
      <c r="E23" s="201" t="s">
        <v>211</v>
      </c>
      <c r="F23" s="169">
        <v>0</v>
      </c>
      <c r="G23" s="169">
        <v>0</v>
      </c>
      <c r="H23" s="6"/>
      <c r="I23" s="32"/>
      <c r="J23" s="217"/>
      <c r="K23" s="220"/>
      <c r="M23" s="199"/>
    </row>
    <row r="24" spans="1:13" customFormat="1" ht="15.4" customHeight="1">
      <c r="A24" s="1"/>
      <c r="B24" s="5"/>
      <c r="C24" s="16"/>
      <c r="D24" s="202"/>
      <c r="E24" s="201" t="s">
        <v>212</v>
      </c>
      <c r="F24" s="169">
        <v>0</v>
      </c>
      <c r="G24" s="169">
        <v>0</v>
      </c>
      <c r="H24" s="6"/>
      <c r="I24" s="32"/>
      <c r="J24" s="217"/>
      <c r="K24" s="220"/>
      <c r="M24" s="199"/>
    </row>
    <row r="25" spans="1:13" customFormat="1" ht="15.4" customHeight="1">
      <c r="A25" s="1"/>
      <c r="B25" s="5"/>
      <c r="C25" s="9"/>
      <c r="D25" s="202"/>
      <c r="E25" s="201" t="s">
        <v>3</v>
      </c>
      <c r="F25" s="169">
        <v>0</v>
      </c>
      <c r="G25" s="169">
        <v>0</v>
      </c>
      <c r="H25" s="6"/>
      <c r="I25" s="32"/>
      <c r="J25" s="217"/>
      <c r="K25" s="220"/>
    </row>
    <row r="26" spans="1:13" customFormat="1" ht="15.4" customHeight="1">
      <c r="A26" s="1"/>
      <c r="B26" s="5"/>
      <c r="C26" s="9"/>
      <c r="D26" s="202"/>
      <c r="E26" s="201" t="s">
        <v>4</v>
      </c>
      <c r="F26" s="169">
        <v>0</v>
      </c>
      <c r="G26" s="169">
        <v>0</v>
      </c>
      <c r="H26" s="6"/>
      <c r="I26" s="32"/>
      <c r="J26" s="217"/>
      <c r="K26" s="220"/>
    </row>
    <row r="27" spans="1:13" customFormat="1" ht="15.4" customHeight="1">
      <c r="A27" s="1"/>
      <c r="B27" s="5"/>
      <c r="C27" s="9"/>
      <c r="D27" s="202"/>
      <c r="E27" s="201"/>
      <c r="F27" s="203"/>
      <c r="G27" s="203"/>
      <c r="H27" s="6"/>
      <c r="I27" s="32"/>
      <c r="J27" s="217"/>
      <c r="K27" s="220"/>
    </row>
    <row r="28" spans="1:13" customFormat="1" ht="15.4" customHeight="1">
      <c r="A28" s="1"/>
      <c r="B28" s="5"/>
      <c r="C28" s="9"/>
      <c r="D28" s="202"/>
      <c r="E28" s="201"/>
      <c r="F28" s="15" t="s">
        <v>221</v>
      </c>
      <c r="G28" s="203"/>
      <c r="H28" s="6"/>
      <c r="I28" s="32"/>
      <c r="J28" s="217"/>
      <c r="K28" s="220"/>
    </row>
    <row r="29" spans="1:13" customFormat="1" ht="15.4" customHeight="1">
      <c r="A29" s="1"/>
      <c r="B29" s="5"/>
      <c r="C29" s="9"/>
      <c r="D29" s="202"/>
      <c r="E29" s="201" t="s">
        <v>222</v>
      </c>
      <c r="F29" s="169">
        <v>0</v>
      </c>
      <c r="G29" s="14"/>
      <c r="H29" s="6"/>
      <c r="I29" s="32"/>
      <c r="J29" s="217"/>
      <c r="K29" s="220"/>
    </row>
    <row r="30" spans="1:13" customFormat="1" ht="15.4" customHeight="1">
      <c r="A30" s="1"/>
      <c r="B30" s="5"/>
      <c r="C30" s="9"/>
      <c r="D30" s="202"/>
      <c r="E30" s="201" t="s">
        <v>223</v>
      </c>
      <c r="F30" s="169">
        <v>0</v>
      </c>
      <c r="G30" s="14"/>
      <c r="H30" s="6"/>
      <c r="I30" s="32"/>
      <c r="J30" s="217"/>
      <c r="K30" s="220"/>
    </row>
    <row r="31" spans="1:13" ht="5.0999999999999996" customHeight="1">
      <c r="B31" s="5"/>
      <c r="C31" s="6"/>
      <c r="D31" s="5"/>
      <c r="E31" s="5"/>
      <c r="F31" s="5"/>
      <c r="G31" s="5"/>
      <c r="H31" s="6"/>
    </row>
    <row r="32" spans="1:13" ht="6" customHeight="1">
      <c r="B32" s="11"/>
      <c r="C32" s="18"/>
      <c r="D32" s="11"/>
      <c r="E32" s="11"/>
      <c r="F32" s="11"/>
      <c r="G32" s="11"/>
      <c r="H32" s="4"/>
    </row>
    <row r="33" spans="2:8" ht="5.0999999999999996" customHeight="1">
      <c r="B33" s="5"/>
      <c r="C33" s="6"/>
      <c r="D33" s="5"/>
      <c r="E33" s="5"/>
      <c r="F33" s="5"/>
      <c r="G33" s="5"/>
      <c r="H33" s="6"/>
    </row>
    <row r="34" spans="2:8" ht="52.5" customHeight="1">
      <c r="B34" s="7" t="s">
        <v>10</v>
      </c>
      <c r="C34" s="242" t="s">
        <v>143</v>
      </c>
      <c r="D34" s="242"/>
      <c r="E34" s="13"/>
      <c r="F34" s="13"/>
      <c r="G34" s="13"/>
      <c r="H34" s="13"/>
    </row>
    <row r="35" spans="2:8" ht="15.4" customHeight="1">
      <c r="B35" s="5"/>
      <c r="C35" s="9"/>
      <c r="D35" s="5"/>
      <c r="E35" s="17"/>
      <c r="F35" s="17" t="s">
        <v>228</v>
      </c>
      <c r="G35" s="169">
        <v>0</v>
      </c>
      <c r="H35" s="6"/>
    </row>
    <row r="36" spans="2:8" ht="15.4" customHeight="1">
      <c r="B36" s="5"/>
      <c r="C36" s="9"/>
      <c r="D36" s="5"/>
      <c r="E36" s="17"/>
      <c r="F36" s="17" t="s">
        <v>229</v>
      </c>
      <c r="G36" s="169">
        <v>0</v>
      </c>
      <c r="H36" s="6"/>
    </row>
    <row r="37" spans="2:8" ht="15.4" hidden="1" customHeight="1" outlineLevel="1">
      <c r="B37" s="5"/>
      <c r="C37" s="19" t="str">
        <f>IF(OR(G37&lt;0,G36&lt;0,G35&lt;0,ISERROR(G37+G36+G35+1)),"Please enter non-negative numbers for Outpatient Diagnostic Procedures.","")</f>
        <v/>
      </c>
      <c r="D37" s="5"/>
      <c r="E37" s="17"/>
      <c r="F37" s="17" t="s">
        <v>226</v>
      </c>
      <c r="G37" s="169"/>
      <c r="H37" s="6"/>
    </row>
    <row r="38" spans="2:8" ht="5.0999999999999996" customHeight="1" collapsed="1">
      <c r="B38" s="5"/>
      <c r="C38" s="6"/>
      <c r="D38" s="5"/>
      <c r="E38" s="5"/>
      <c r="F38" s="5"/>
      <c r="G38" s="5"/>
      <c r="H38" s="6"/>
    </row>
    <row r="39" spans="2:8" ht="6" customHeight="1">
      <c r="B39" s="11"/>
      <c r="C39" s="4"/>
      <c r="D39" s="11"/>
      <c r="E39" s="11"/>
      <c r="F39" s="11"/>
      <c r="G39" s="11"/>
      <c r="H39" s="4"/>
    </row>
    <row r="40" spans="2:8" ht="5.0999999999999996" customHeight="1">
      <c r="B40" s="5"/>
      <c r="C40" s="6"/>
      <c r="D40" s="5"/>
      <c r="E40" s="5"/>
      <c r="F40" s="5"/>
      <c r="G40" s="5"/>
      <c r="H40" s="6"/>
    </row>
    <row r="41" spans="2:8" ht="42.75" customHeight="1">
      <c r="B41" s="7" t="s">
        <v>11</v>
      </c>
      <c r="C41" s="8" t="s">
        <v>144</v>
      </c>
      <c r="D41" s="20"/>
      <c r="E41" s="14"/>
      <c r="F41" s="14"/>
      <c r="G41" s="14"/>
      <c r="H41" s="13"/>
    </row>
    <row r="42" spans="2:8" ht="15.4" customHeight="1">
      <c r="B42" s="5"/>
      <c r="C42" s="19" t="str">
        <f>IF(OR(G42&lt;0,ISERROR(G42+1)),"Please enter a non-negative number for Outpatient Procedures.","")</f>
        <v/>
      </c>
      <c r="D42" s="5"/>
      <c r="E42" s="17"/>
      <c r="F42" s="17" t="s">
        <v>1</v>
      </c>
      <c r="G42" s="172">
        <v>0</v>
      </c>
      <c r="H42" s="6"/>
    </row>
    <row r="43" spans="2:8" ht="6" customHeight="1">
      <c r="B43" s="11"/>
      <c r="C43" s="4"/>
      <c r="D43" s="11"/>
      <c r="E43" s="11"/>
      <c r="F43" s="11"/>
      <c r="G43" s="11"/>
      <c r="H43" s="4"/>
    </row>
    <row r="44" spans="2:8" ht="5.0999999999999996" customHeight="1">
      <c r="B44" s="5"/>
      <c r="C44" s="6"/>
      <c r="D44" s="5"/>
      <c r="E44" s="5"/>
      <c r="F44" s="5"/>
      <c r="G44" s="5"/>
      <c r="H44" s="6"/>
    </row>
    <row r="45" spans="2:8" ht="51" customHeight="1">
      <c r="B45" s="7" t="s">
        <v>12</v>
      </c>
      <c r="C45" s="242" t="s">
        <v>242</v>
      </c>
      <c r="D45" s="242"/>
      <c r="E45" s="14"/>
      <c r="F45" s="14"/>
      <c r="G45" s="14"/>
      <c r="H45" s="13"/>
    </row>
    <row r="46" spans="2:8" ht="15.4" customHeight="1">
      <c r="B46" s="5"/>
      <c r="C46" s="19" t="str">
        <f>IF(OR(G46&lt;0,ISERROR(G46+1)),"Please enter a non-negative number for Total Other Expenses.","")</f>
        <v/>
      </c>
      <c r="D46" s="5"/>
      <c r="E46" s="17"/>
      <c r="F46" s="17" t="s">
        <v>0</v>
      </c>
      <c r="G46" s="172">
        <v>0</v>
      </c>
      <c r="H46" s="6"/>
    </row>
    <row r="47" spans="2:8" ht="5.0999999999999996" customHeight="1">
      <c r="B47" s="5"/>
      <c r="C47" s="6"/>
      <c r="D47" s="5"/>
      <c r="E47" s="5"/>
      <c r="F47" s="5"/>
      <c r="G47" s="5"/>
      <c r="H47" s="6"/>
    </row>
    <row r="48" spans="2:8" ht="6" customHeight="1">
      <c r="B48" s="11"/>
      <c r="C48" s="21"/>
      <c r="D48" s="11"/>
      <c r="E48" s="22"/>
      <c r="F48" s="22"/>
      <c r="G48" s="22"/>
      <c r="H48" s="4"/>
    </row>
    <row r="49" spans="2:11" ht="5.0999999999999996" customHeight="1">
      <c r="B49" s="5"/>
      <c r="C49" s="6"/>
      <c r="D49" s="5"/>
      <c r="E49" s="5"/>
      <c r="F49" s="5"/>
      <c r="G49" s="5"/>
      <c r="H49" s="6"/>
    </row>
    <row r="50" spans="2:11" ht="41.25" customHeight="1">
      <c r="B50" s="7" t="s">
        <v>13</v>
      </c>
      <c r="C50" s="252" t="str">
        <f>"If you are considering participating in the "&amp;[4]Asmpt!C40&amp;" (the health savings account option), and you plan to contribute funds (beyond what "&amp;[4]Asmpt!B5&amp;" will contribute), enter the amount here."</f>
        <v>If you are considering participating in the HSP Plan (the health savings account option), and you plan to contribute funds (beyond what Green Diamond Resource Company will contribute), enter the amount here.</v>
      </c>
      <c r="D50" s="252"/>
      <c r="E50" s="14"/>
      <c r="F50" s="14"/>
      <c r="G50" s="14"/>
      <c r="H50" s="13"/>
    </row>
    <row r="51" spans="2:11" ht="15.4" customHeight="1">
      <c r="B51" s="5"/>
      <c r="C51" s="34"/>
      <c r="D51" s="5"/>
      <c r="E51" s="17"/>
      <c r="F51" s="17" t="s">
        <v>20</v>
      </c>
      <c r="G51" s="172">
        <v>0</v>
      </c>
      <c r="H51" s="6"/>
      <c r="J51" s="217">
        <f>IF(J4=1,3500,7000)-INDEX(Asmpt!C184:C189,J4)</f>
        <v>2500</v>
      </c>
    </row>
    <row r="52" spans="2:11" ht="5.0999999999999996" customHeight="1">
      <c r="B52" s="5"/>
      <c r="C52" s="6"/>
      <c r="D52" s="5"/>
      <c r="E52" s="5"/>
      <c r="F52" s="5"/>
      <c r="G52" s="5"/>
      <c r="H52" s="6"/>
    </row>
    <row r="53" spans="2:11" ht="6" customHeight="1">
      <c r="B53" s="11"/>
      <c r="C53" s="23"/>
      <c r="D53" s="11"/>
      <c r="E53" s="11"/>
      <c r="F53" s="11"/>
      <c r="G53" s="11"/>
      <c r="H53" s="4"/>
    </row>
    <row r="54" spans="2:11" ht="12.75" customHeight="1">
      <c r="C54" s="1"/>
    </row>
    <row r="55" spans="2:11" ht="20.100000000000001" customHeight="1">
      <c r="B55" s="253"/>
      <c r="C55" s="254" t="str">
        <f>"Your "&amp;Asmpt!B10&amp;" Estimated Cost, Based on Your Responses"</f>
        <v>Your 2022-23 Estimated Cost, Based on Your Responses</v>
      </c>
      <c r="D55" s="255"/>
      <c r="E55" s="255"/>
      <c r="F55" s="255"/>
      <c r="G55" s="255"/>
      <c r="H55" s="253"/>
    </row>
    <row r="56" spans="2:11" ht="18.399999999999999" customHeight="1">
      <c r="B56" s="256"/>
      <c r="C56" s="257"/>
      <c r="D56" s="258"/>
      <c r="E56" s="258" t="str">
        <f>Asmpt!B40</f>
        <v>PPO Plan</v>
      </c>
      <c r="F56" s="258" t="str">
        <f>Asmpt!C40</f>
        <v>HSP Plan</v>
      </c>
      <c r="G56" s="258" t="str">
        <f>IF(Asmpt!D40="NA","",Asmpt!D40)</f>
        <v/>
      </c>
      <c r="H56" s="259"/>
    </row>
    <row r="57" spans="2:11" ht="15.4" customHeight="1">
      <c r="B57" s="256"/>
      <c r="C57" s="260" t="str">
        <f>"Annual Employee Premium"&amp;REPT(".",200)</f>
        <v>Annual Employee Premium........................................................................................................................................................................................................</v>
      </c>
      <c r="D57" s="261" t="str">
        <f>REPT(".",30)</f>
        <v>..............................</v>
      </c>
      <c r="E57" s="261">
        <f>SUMPRODUCT($J5:$J10,Asmpt!B193:B198)*12</f>
        <v>1464</v>
      </c>
      <c r="F57" s="261">
        <f>SUMPRODUCT($J5:$J10,Asmpt!C193:C198)*12</f>
        <v>924</v>
      </c>
      <c r="G57" s="261" t="str">
        <f>IF(G56="","",SUMPRODUCT($J5:$J10,Asmpt!D193:D198)*12)</f>
        <v/>
      </c>
      <c r="H57" s="262"/>
      <c r="J57" s="221"/>
      <c r="K57" s="222"/>
    </row>
    <row r="58" spans="2:11" ht="15.4" customHeight="1">
      <c r="B58" s="256"/>
      <c r="C58" s="260" t="str">
        <f>"Copays"&amp;REPT(".",200)</f>
        <v>Copays........................................................................................................................................................................................................</v>
      </c>
      <c r="D58" s="261" t="str">
        <f>REPT(".",30)</f>
        <v>..............................</v>
      </c>
      <c r="E58" s="261">
        <f>'Plan 1 Calcs'!C34</f>
        <v>0</v>
      </c>
      <c r="F58" s="261">
        <f>'Plan 2 Calcs'!C34</f>
        <v>0</v>
      </c>
      <c r="G58" s="261" t="str">
        <f>IF(G56="","",'Plan 3 Calcs'!C34)</f>
        <v/>
      </c>
      <c r="H58" s="262"/>
    </row>
    <row r="59" spans="2:11" ht="15.4" customHeight="1">
      <c r="B59" s="256"/>
      <c r="C59" s="260" t="str">
        <f>"Deductible"&amp;REPT(".",200)</f>
        <v>Deductible........................................................................................................................................................................................................</v>
      </c>
      <c r="D59" s="261" t="str">
        <f>REPT(".",30)</f>
        <v>..............................</v>
      </c>
      <c r="E59" s="261">
        <f>'Plan 1 Calcs'!C35</f>
        <v>0</v>
      </c>
      <c r="F59" s="261">
        <f>'Plan 2 Calcs'!C35</f>
        <v>0</v>
      </c>
      <c r="G59" s="261" t="str">
        <f>IF(G56="","",'Plan 3 Calcs'!C35)</f>
        <v/>
      </c>
      <c r="H59" s="262"/>
      <c r="J59" s="223"/>
    </row>
    <row r="60" spans="2:11" ht="15.4" customHeight="1">
      <c r="B60" s="256"/>
      <c r="C60" s="260" t="str">
        <f>"Coinsurance"&amp;REPT(".",200)</f>
        <v>Coinsurance........................................................................................................................................................................................................</v>
      </c>
      <c r="D60" s="261" t="str">
        <f>REPT(".",30)</f>
        <v>..............................</v>
      </c>
      <c r="E60" s="263">
        <f>'Plan 1 Calcs'!C36</f>
        <v>0</v>
      </c>
      <c r="F60" s="263">
        <f>'Plan 2 Calcs'!C36</f>
        <v>0</v>
      </c>
      <c r="G60" s="263" t="str">
        <f>IF(G56="","",'Plan 3 Calcs'!C36)</f>
        <v/>
      </c>
      <c r="H60" s="262"/>
    </row>
    <row r="61" spans="2:11" ht="15.4" customHeight="1">
      <c r="B61" s="253"/>
      <c r="C61" s="264" t="s">
        <v>16</v>
      </c>
      <c r="D61" s="265"/>
      <c r="E61" s="266">
        <f>SUM(E57:E60)</f>
        <v>1464</v>
      </c>
      <c r="F61" s="266">
        <f>SUM(F57:F60)</f>
        <v>924</v>
      </c>
      <c r="G61" s="266" t="str">
        <f>IF(G56="","",SUM(G57:G60))</f>
        <v/>
      </c>
      <c r="H61" s="267"/>
    </row>
    <row r="62" spans="2:11" ht="15.4" customHeight="1">
      <c r="B62" s="253"/>
      <c r="C62" s="264" t="s">
        <v>152</v>
      </c>
      <c r="D62" s="265"/>
      <c r="E62" s="266">
        <f>IF(Asmpt!B43="PPO",E61,E61-'Plan 1 Calcs'!C37)</f>
        <v>1464</v>
      </c>
      <c r="F62" s="266">
        <f>IF(Asmpt!C43="PPO",F61,F61+'Plan 2 Calcs'!C37)</f>
        <v>924</v>
      </c>
      <c r="G62" s="266" t="str">
        <f>IF(G56="","",IF(Asmpt!D43="HSA",G61+'Plan 3 Calcs'!C37,"NA"))</f>
        <v/>
      </c>
      <c r="H62" s="267"/>
      <c r="K62" s="224"/>
    </row>
    <row r="63" spans="2:11" ht="12.75" customHeight="1">
      <c r="B63" s="268"/>
      <c r="C63" s="268"/>
      <c r="D63" s="10"/>
      <c r="E63" s="10"/>
      <c r="F63" s="10"/>
      <c r="G63" s="10"/>
      <c r="H63" s="268"/>
    </row>
    <row r="64" spans="2:11" ht="20.100000000000001" customHeight="1">
      <c r="B64" s="269"/>
      <c r="C64" s="270" t="str">
        <f>"Your "&amp;Asmpt!B10&amp;" Maximum Cost ('Worst Case Scenario') *"</f>
        <v>Your 2022-23 Maximum Cost ('Worst Case Scenario') *</v>
      </c>
      <c r="D64" s="271"/>
      <c r="E64" s="271"/>
      <c r="F64" s="271"/>
      <c r="G64" s="271"/>
      <c r="H64" s="272"/>
    </row>
    <row r="65" spans="2:11" ht="18.399999999999999" customHeight="1">
      <c r="B65" s="256"/>
      <c r="C65" s="257"/>
      <c r="D65" s="258"/>
      <c r="E65" s="258" t="str">
        <f t="shared" ref="E65:G65" si="0">E56</f>
        <v>PPO Plan</v>
      </c>
      <c r="F65" s="258" t="str">
        <f t="shared" si="0"/>
        <v>HSP Plan</v>
      </c>
      <c r="G65" s="258" t="str">
        <f t="shared" si="0"/>
        <v/>
      </c>
      <c r="H65" s="259"/>
    </row>
    <row r="66" spans="2:11" ht="15.4" customHeight="1">
      <c r="B66" s="256"/>
      <c r="C66" s="260" t="str">
        <f>"Annual Employee Premium"&amp;REPT(".",200)</f>
        <v>Annual Employee Premium........................................................................................................................................................................................................</v>
      </c>
      <c r="D66" s="261" t="str">
        <f>REPT(".",30)</f>
        <v>..............................</v>
      </c>
      <c r="E66" s="261">
        <f t="shared" ref="E66:G66" si="1">E57</f>
        <v>1464</v>
      </c>
      <c r="F66" s="261">
        <f t="shared" si="1"/>
        <v>924</v>
      </c>
      <c r="G66" s="261" t="str">
        <f t="shared" si="1"/>
        <v/>
      </c>
      <c r="H66" s="262"/>
      <c r="J66" s="221"/>
      <c r="K66" s="222"/>
    </row>
    <row r="67" spans="2:11" ht="15.4" customHeight="1">
      <c r="B67" s="256"/>
      <c r="C67" s="260" t="str">
        <f>"Out-of-Pocket Costs (copays, deductible, and coinsurance)"&amp;REPT(".",200)</f>
        <v>Out-of-Pocket Costs (copays, deductible, and coinsurance)........................................................................................................................................................................................................</v>
      </c>
      <c r="D67" s="261" t="str">
        <f>REPT(".",30)</f>
        <v>..............................</v>
      </c>
      <c r="E67" s="261">
        <f>'Plan 1 Calcs'!C52</f>
        <v>3000</v>
      </c>
      <c r="F67" s="261">
        <f>'Plan 2 Calcs'!C52</f>
        <v>4500</v>
      </c>
      <c r="G67" s="261" t="str">
        <f>IF(G65="","",'Plan 3 Calcs'!C52)</f>
        <v/>
      </c>
      <c r="H67" s="262"/>
    </row>
    <row r="68" spans="2:11" ht="15.4" customHeight="1">
      <c r="B68" s="253"/>
      <c r="C68" s="264" t="s">
        <v>16</v>
      </c>
      <c r="D68" s="265"/>
      <c r="E68" s="266">
        <f>SUM(E66:E67)</f>
        <v>4464</v>
      </c>
      <c r="F68" s="266">
        <f>SUM(F66:F67)</f>
        <v>5424</v>
      </c>
      <c r="G68" s="266" t="str">
        <f>IF(G65="","",SUM(G66:G67))</f>
        <v/>
      </c>
      <c r="H68" s="267"/>
    </row>
    <row r="69" spans="2:11" ht="15.4" customHeight="1">
      <c r="B69" s="253"/>
      <c r="C69" s="264" t="s">
        <v>267</v>
      </c>
      <c r="D69" s="265"/>
      <c r="E69" s="266">
        <f>IF(Asmpt!B43="PPO",E68,E68-'Plan 1 Calcs'!C53)</f>
        <v>4464</v>
      </c>
      <c r="F69" s="266">
        <f>IF(Asmpt!C43="HSA",F68+'Plan 2 Calcs'!C53,"NA")</f>
        <v>4424</v>
      </c>
      <c r="G69" s="266" t="str">
        <f>IF(G65="","",IF(Asmpt!D53="HSA",G68+'Plan 3 Calcs'!C46,"NA"))</f>
        <v/>
      </c>
      <c r="H69" s="267"/>
    </row>
    <row r="70" spans="2:11" ht="13.5" customHeight="1">
      <c r="B70" s="24" t="s">
        <v>210</v>
      </c>
      <c r="C70" s="24"/>
      <c r="D70" s="25"/>
      <c r="E70" s="25"/>
      <c r="F70" s="25"/>
      <c r="G70" s="25"/>
      <c r="H70" s="25"/>
    </row>
    <row r="71" spans="2:11" ht="15.4" customHeight="1">
      <c r="C71" s="26"/>
      <c r="E71" s="27"/>
      <c r="F71" s="28"/>
      <c r="G71" s="28"/>
    </row>
    <row r="72" spans="2:11" ht="15.4" customHeight="1"/>
    <row r="73" spans="2:11" ht="15.4" customHeight="1"/>
    <row r="74" spans="2:11" ht="15.4" customHeight="1"/>
    <row r="75" spans="2:11" ht="15.4" customHeight="1"/>
    <row r="76" spans="2:11" ht="15.4" customHeight="1"/>
    <row r="77" spans="2:11" ht="15.4" customHeight="1"/>
    <row r="78" spans="2:11" ht="15.4" customHeight="1"/>
    <row r="79" spans="2:11" ht="15.4" customHeight="1"/>
    <row r="80" spans="2:11" ht="15.4" customHeight="1"/>
    <row r="81" ht="15.4" customHeight="1"/>
    <row r="82" ht="15.4" customHeight="1"/>
    <row r="83" ht="15.4" customHeight="1"/>
    <row r="84" ht="15.4" customHeight="1"/>
    <row r="85" ht="15.4" customHeight="1"/>
    <row r="86" ht="15.4" customHeight="1"/>
    <row r="87" ht="15.4" customHeight="1"/>
    <row r="88" ht="15.4" customHeight="1"/>
    <row r="89" ht="15.4" customHeight="1"/>
    <row r="90" ht="15.4" customHeight="1"/>
    <row r="91" ht="15.4" customHeight="1"/>
    <row r="92" ht="15.4" customHeight="1"/>
    <row r="93" ht="15.4" customHeight="1"/>
    <row r="94" ht="15.4" customHeight="1"/>
    <row r="95" ht="15.4" customHeight="1"/>
    <row r="96" ht="15.4" customHeight="1"/>
    <row r="97" ht="15.4" customHeight="1"/>
    <row r="98" ht="15.4" customHeight="1"/>
    <row r="99" ht="15.4" customHeight="1"/>
    <row r="100" ht="15.4" customHeight="1"/>
    <row r="101" ht="15.4" customHeight="1"/>
  </sheetData>
  <sheetProtection algorithmName="SHA-512" hashValue="oDxAq5kqYps7H9sKyWSea05vS2QQqQYZYkdv+TnuzTesMOSrT0H0gdYvUjsbBVPR8mJnGX5BLtCTQxe+nY04oA==" saltValue="sTmD+sB7FyuXO3DH6D92EQ==" spinCount="100000" sheet="1" objects="1" scenarios="1"/>
  <dataConsolidate/>
  <mergeCells count="4">
    <mergeCell ref="C45:D45"/>
    <mergeCell ref="C50:D50"/>
    <mergeCell ref="C21:D21"/>
    <mergeCell ref="C34:D34"/>
  </mergeCells>
  <phoneticPr fontId="13" type="noConversion"/>
  <conditionalFormatting sqref="F57:G60">
    <cfRule type="cellIs" dxfId="3" priority="4" stopIfTrue="1" operator="equal">
      <formula>"Input Error"</formula>
    </cfRule>
  </conditionalFormatting>
  <conditionalFormatting sqref="E57:E60">
    <cfRule type="cellIs" dxfId="2" priority="3" stopIfTrue="1" operator="equal">
      <formula>"Input Error"</formula>
    </cfRule>
  </conditionalFormatting>
  <conditionalFormatting sqref="E66:E67">
    <cfRule type="cellIs" dxfId="1" priority="1" stopIfTrue="1" operator="equal">
      <formula>"Input Error"</formula>
    </cfRule>
  </conditionalFormatting>
  <conditionalFormatting sqref="F66:G67">
    <cfRule type="cellIs" dxfId="0" priority="2" stopIfTrue="1" operator="equal">
      <formula>"Input Error"</formula>
    </cfRule>
  </conditionalFormatting>
  <dataValidations disablePrompts="1" xWindow="976" yWindow="475" count="10">
    <dataValidation type="whole" operator="greaterThanOrEqual" allowBlank="1" showErrorMessage="1" errorTitle="Input Error" error="Primary Care  office visits must be entered as a non-negative, whole number." promptTitle="Primary Care" prompt="&quot;Primary care&quot; means a general or family practitioner, a pediatrician, an OB/GYN, a naturopath or an internist (internal medicine)." sqref="G36:G37" xr:uid="{00000000-0002-0000-0100-000000000000}">
      <formula1>0</formula1>
    </dataValidation>
    <dataValidation type="decimal" operator="greaterThanOrEqual" allowBlank="1" showInputMessage="1" showErrorMessage="1" errorTitle="Input Error" error="Total cost for Outpatient Procedures must be entered as a non-negative number." sqref="G42" xr:uid="{00000000-0002-0000-0100-000001000000}">
      <formula1>0</formula1>
    </dataValidation>
    <dataValidation type="whole" operator="greaterThanOrEqual" allowBlank="1" showInputMessage="1" showErrorMessage="1" errorTitle="Input Error" error="Lab and X-ray Services must be entered as a non-negative, whole number." sqref="G35" xr:uid="{00000000-0002-0000-0100-000003000000}">
      <formula1>0</formula1>
    </dataValidation>
    <dataValidation type="whole" operator="greaterThanOrEqual" allowBlank="1" showInputMessage="1" showErrorMessage="1" errorTitle="Input Error" error="Physician office visits must be entered as a non-negative, whole number." sqref="D16" xr:uid="{00000000-0002-0000-0100-000004000000}">
      <formula1>0</formula1>
    </dataValidation>
    <dataValidation type="whole" operator="greaterThanOrEqual" allowBlank="1" showErrorMessage="1" errorTitle="Input Error" error="Other expected claims must be entered as a positive whole number." promptTitle="Primary Care" prompt="&quot;Primary care&quot; means a general or family practitioner, a pediatrician, an OB/GYN, a naturopath or an internist (internal medicine)." sqref="G46" xr:uid="{00000000-0002-0000-0100-000005000000}">
      <formula1>0</formula1>
    </dataValidation>
    <dataValidation type="whole" errorStyle="information" allowBlank="1" showInputMessage="1" showErrorMessage="1" errorTitle="Input Error" error="The contribution you entered, when combined with Green Diamond's contribution, may exceed the IRS limit.  This calculation does not accout for  increases to the IRS limit in 2020." sqref="G51" xr:uid="{00000000-0002-0000-0100-000006000000}">
      <formula1>0</formula1>
      <formula2>J51</formula2>
    </dataValidation>
    <dataValidation type="whole" errorStyle="information" allowBlank="1" showInputMessage="1" showErrorMessage="1" errorTitle="Input Error" error="Chiropractic, acupuncture and massage therapy are limited. Check to make sure your input does not exceed the maximum number of visits." sqref="F16" xr:uid="{00000000-0002-0000-0100-000007000000}">
      <formula1>0</formula1>
      <formula2>J16</formula2>
    </dataValidation>
    <dataValidation type="whole" operator="greaterThanOrEqual" allowBlank="1" showInputMessage="1" showErrorMessage="1" errorTitle="Input Error" error="Prescriptions must be entered as non-negative, whole numbers." sqref="F29:F30 F23:G28" xr:uid="{00000000-0002-0000-0100-000002000000}">
      <formula1>0</formula1>
    </dataValidation>
    <dataValidation type="whole" operator="greaterThanOrEqual" allowBlank="1" showErrorMessage="1" errorTitle="Input Error" error="Physician office visits must be entered as a non-negative, whole number." promptTitle="Primary Care" prompt="&quot;Primary care&quot; means a general or family practitioner, a pediatrician, an OB/GYN, a naturopath or an internist (internal medicine)." sqref="G16" xr:uid="{6370E01E-D1DC-4140-8CE0-EC5F8F345BE5}">
      <formula1>0</formula1>
    </dataValidation>
    <dataValidation type="whole" errorStyle="information" allowBlank="1" showInputMessage="1" showErrorMessage="1" errorTitle="Input Error" error="Physical and Occupational therapy are limited. Check to make sure your input does not exceed the maximum number of visits." sqref="E16" xr:uid="{4CBCC080-655B-49C0-B132-42830322E269}">
      <formula1>0</formula1>
      <formula2>K16</formula2>
    </dataValidation>
  </dataValidations>
  <pageMargins left="0.3" right="0.2" top="0.5" bottom="0.5" header="0.3" footer="0.2"/>
  <pageSetup scale="63" orientation="portrait" r:id="rId1"/>
  <headerFooter scaleWithDoc="0">
    <oddFooter>&amp;L&amp;6&amp;F
&amp;D&amp;T&amp;C&amp;"-,Bold"&amp;10Prepared by AssuredPartners</oddFooter>
  </headerFooter>
  <ignoredErrors>
    <ignoredError sqref="B4 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6</xdr:col>
                    <xdr:colOff>0</xdr:colOff>
                    <xdr:row>4</xdr:row>
                    <xdr:rowOff>0</xdr:rowOff>
                  </from>
                  <to>
                    <xdr:col>7</xdr:col>
                    <xdr:colOff>0</xdr:colOff>
                    <xdr:row>10</xdr:row>
                    <xdr:rowOff>0</xdr:rowOff>
                  </to>
                </anchor>
              </controlPr>
            </control>
          </mc:Choice>
        </mc:AlternateContent>
        <mc:AlternateContent xmlns:mc="http://schemas.openxmlformats.org/markup-compatibility/2006">
          <mc:Choice Requires="x14">
            <control shapeId="1043" r:id="rId5" name="Option Button 19">
              <controlPr locked="0" defaultSize="0" autoFill="0" autoLine="0" autoPict="0">
                <anchor moveWithCells="1">
                  <from>
                    <xdr:col>6</xdr:col>
                    <xdr:colOff>342900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044" r:id="rId6" name="Option Button 20">
              <controlPr locked="0" defaultSize="0" autoFill="0" autoLine="0" autoPict="0">
                <anchor moveWithCells="1">
                  <from>
                    <xdr:col>6</xdr:col>
                    <xdr:colOff>342900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45" r:id="rId7" name="Option Button 21">
              <controlPr locked="0" defaultSize="0" autoFill="0" autoLine="0" autoPict="0">
                <anchor moveWithCells="1">
                  <from>
                    <xdr:col>6</xdr:col>
                    <xdr:colOff>342900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6</xdr:col>
                    <xdr:colOff>342900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65" r:id="rId9" name="Option Button 41">
              <controlPr locked="0" defaultSize="0" autoFill="0" autoLine="0" autoPict="0">
                <anchor moveWithCells="1">
                  <from>
                    <xdr:col>6</xdr:col>
                    <xdr:colOff>333375</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68" r:id="rId10" name="Option Button 44">
              <controlPr locked="0" defaultSize="0" autoFill="0" autoLine="0" autoPict="0">
                <anchor moveWithCells="1">
                  <from>
                    <xdr:col>6</xdr:col>
                    <xdr:colOff>342900</xdr:colOff>
                    <xdr:row>9</xdr:row>
                    <xdr:rowOff>0</xdr:rowOff>
                  </from>
                  <to>
                    <xdr:col>7</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7"/>
  <sheetViews>
    <sheetView showGridLines="0" workbookViewId="0">
      <selection activeCell="F4" sqref="F4"/>
    </sheetView>
  </sheetViews>
  <sheetFormatPr defaultColWidth="9.140625" defaultRowHeight="12.75"/>
  <cols>
    <col min="1" max="1" width="1.5703125" style="186" customWidth="1"/>
    <col min="2" max="2" width="38.5703125" style="185" customWidth="1"/>
    <col min="3" max="3" width="5.140625" style="185" customWidth="1"/>
    <col min="4" max="4" width="12" style="185" customWidth="1"/>
    <col min="5" max="5" width="5.140625" style="185" customWidth="1"/>
    <col min="6" max="6" width="12" style="185" customWidth="1"/>
    <col min="7" max="7" width="5.140625" style="185" customWidth="1"/>
    <col min="8" max="8" width="12" style="125" customWidth="1"/>
    <col min="9" max="9" width="1.5703125" style="186" customWidth="1"/>
    <col min="10" max="16384" width="9.140625" style="185"/>
  </cols>
  <sheetData>
    <row r="1" spans="1:11" s="183" customFormat="1" ht="10.5" customHeight="1">
      <c r="A1" s="31"/>
      <c r="B1" s="31"/>
      <c r="C1" s="31"/>
      <c r="D1" s="180"/>
      <c r="E1" s="31"/>
      <c r="F1" s="33"/>
      <c r="G1" s="31"/>
      <c r="H1" s="33"/>
      <c r="I1" s="31"/>
      <c r="J1" s="31"/>
      <c r="K1" s="31"/>
    </row>
    <row r="2" spans="1:11" s="184" customFormat="1" ht="18" customHeight="1">
      <c r="A2" s="181"/>
      <c r="B2" s="243" t="s">
        <v>174</v>
      </c>
      <c r="C2" s="243"/>
      <c r="D2" s="244"/>
      <c r="E2" s="243"/>
      <c r="F2" s="244"/>
      <c r="G2" s="243"/>
      <c r="H2" s="244"/>
      <c r="I2" s="181"/>
      <c r="J2" s="181"/>
      <c r="K2" s="181"/>
    </row>
    <row r="3" spans="1:11" ht="16.5" customHeight="1">
      <c r="A3" s="31"/>
      <c r="B3" s="125"/>
      <c r="C3" s="125"/>
      <c r="D3" s="125"/>
      <c r="E3" s="125"/>
      <c r="F3" s="125"/>
      <c r="G3" s="125"/>
      <c r="I3" s="31"/>
      <c r="J3" s="125"/>
      <c r="K3" s="125"/>
    </row>
    <row r="4" spans="1:11" ht="16.5" customHeight="1">
      <c r="A4" s="31"/>
      <c r="B4" s="125"/>
      <c r="C4" s="125"/>
      <c r="D4" s="211" t="s">
        <v>127</v>
      </c>
      <c r="E4" s="125"/>
      <c r="F4" s="182">
        <v>0.22</v>
      </c>
      <c r="G4" s="125"/>
      <c r="I4" s="31"/>
      <c r="J4" s="125"/>
      <c r="K4" s="125"/>
    </row>
    <row r="5" spans="1:11" ht="16.5" customHeight="1">
      <c r="A5" s="31"/>
      <c r="B5" s="125"/>
      <c r="C5" s="125"/>
      <c r="D5" s="125"/>
      <c r="E5" s="125"/>
      <c r="F5" s="125"/>
      <c r="G5" s="125"/>
      <c r="I5" s="31"/>
      <c r="J5" s="125"/>
      <c r="K5" s="125"/>
    </row>
    <row r="6" spans="1:11" ht="16.5" customHeight="1">
      <c r="A6" s="31"/>
      <c r="B6" s="125"/>
      <c r="C6" s="125"/>
      <c r="D6" s="125"/>
      <c r="E6" s="125"/>
      <c r="F6" s="125"/>
      <c r="G6" s="125"/>
      <c r="I6" s="31"/>
      <c r="J6" s="125"/>
      <c r="K6" s="125"/>
    </row>
    <row r="7" spans="1:11" ht="16.5" customHeight="1">
      <c r="A7" s="150"/>
      <c r="B7" s="216" t="str">
        <f>Plan_Year&amp;" Plan Options"</f>
        <v>2022-23 Plan Options</v>
      </c>
      <c r="C7" s="146"/>
      <c r="D7" s="216" t="s">
        <v>147</v>
      </c>
      <c r="E7" s="146"/>
      <c r="F7" s="216" t="s">
        <v>148</v>
      </c>
      <c r="G7" s="146"/>
      <c r="H7" s="146"/>
      <c r="I7" s="150"/>
      <c r="J7" s="150"/>
      <c r="K7" s="150"/>
    </row>
    <row r="8" spans="1:11" ht="16.5" customHeight="1">
      <c r="A8" s="150"/>
      <c r="B8" s="212" t="s">
        <v>27</v>
      </c>
      <c r="C8" s="147"/>
      <c r="D8" s="213">
        <f>'Cost Estimator'!E57</f>
        <v>1464</v>
      </c>
      <c r="E8" s="147"/>
      <c r="F8" s="213">
        <f>'Cost Estimator'!F57</f>
        <v>924</v>
      </c>
      <c r="G8" s="147"/>
      <c r="H8" s="149"/>
      <c r="I8" s="150"/>
      <c r="J8" s="150"/>
      <c r="K8" s="150"/>
    </row>
    <row r="9" spans="1:11" ht="16.5" customHeight="1">
      <c r="A9" s="150"/>
      <c r="B9" s="212" t="s">
        <v>28</v>
      </c>
      <c r="C9" s="147"/>
      <c r="D9" s="148"/>
      <c r="E9" s="147"/>
      <c r="F9" s="213">
        <f>'Cost Estimator'!G51</f>
        <v>0</v>
      </c>
      <c r="G9" s="147"/>
      <c r="H9" s="150"/>
      <c r="I9" s="150"/>
      <c r="J9" s="150"/>
      <c r="K9" s="150"/>
    </row>
    <row r="10" spans="1:11" ht="16.5" customHeight="1">
      <c r="A10" s="150"/>
      <c r="B10" s="212" t="s">
        <v>29</v>
      </c>
      <c r="C10" s="147"/>
      <c r="D10" s="213">
        <f>D9+D8</f>
        <v>1464</v>
      </c>
      <c r="E10" s="147"/>
      <c r="F10" s="213">
        <f>F8+F9</f>
        <v>924</v>
      </c>
      <c r="G10" s="147"/>
      <c r="H10" s="149"/>
      <c r="I10" s="150"/>
      <c r="J10" s="150"/>
      <c r="K10" s="150"/>
    </row>
    <row r="11" spans="1:11" ht="16.5" customHeight="1">
      <c r="A11" s="150"/>
      <c r="B11" s="147"/>
      <c r="C11" s="147"/>
      <c r="D11" s="148"/>
      <c r="E11" s="147"/>
      <c r="F11" s="148"/>
      <c r="G11" s="147"/>
      <c r="H11" s="150"/>
      <c r="I11" s="150"/>
      <c r="J11" s="150"/>
      <c r="K11" s="150"/>
    </row>
    <row r="12" spans="1:11" ht="16.5" customHeight="1">
      <c r="A12" s="150"/>
      <c r="B12" s="150"/>
      <c r="C12" s="150"/>
      <c r="D12" s="151"/>
      <c r="E12" s="150"/>
      <c r="F12" s="151"/>
      <c r="G12" s="150"/>
      <c r="H12" s="150"/>
      <c r="I12" s="150"/>
      <c r="J12" s="150"/>
      <c r="K12" s="150"/>
    </row>
    <row r="13" spans="1:11" ht="16.5" customHeight="1">
      <c r="A13" s="150"/>
      <c r="B13" s="150"/>
      <c r="C13" s="150"/>
      <c r="D13" s="147"/>
      <c r="E13" s="147"/>
      <c r="F13" s="214" t="s">
        <v>176</v>
      </c>
      <c r="G13" s="150"/>
      <c r="H13" s="215">
        <f>D10-F10</f>
        <v>540</v>
      </c>
      <c r="I13" s="150"/>
      <c r="J13" s="150"/>
      <c r="K13" s="150"/>
    </row>
    <row r="14" spans="1:11" ht="16.5" customHeight="1">
      <c r="A14" s="150"/>
      <c r="B14" s="150"/>
      <c r="C14" s="150"/>
      <c r="D14" s="147"/>
      <c r="E14" s="147"/>
      <c r="F14" s="147"/>
      <c r="G14" s="150"/>
      <c r="H14" s="149"/>
      <c r="I14" s="150"/>
      <c r="J14" s="150"/>
      <c r="K14" s="150"/>
    </row>
    <row r="15" spans="1:11" ht="16.5" customHeight="1">
      <c r="A15" s="150"/>
      <c r="B15" s="150"/>
      <c r="C15" s="150"/>
      <c r="D15" s="147"/>
      <c r="E15" s="147"/>
      <c r="F15" s="214" t="s">
        <v>177</v>
      </c>
      <c r="G15" s="150"/>
      <c r="H15" s="215">
        <f>H13*(1-$F$4)</f>
        <v>421.2</v>
      </c>
      <c r="I15" s="150"/>
      <c r="J15" s="150"/>
      <c r="K15" s="150"/>
    </row>
    <row r="16" spans="1:11" ht="16.5" customHeight="1">
      <c r="A16" s="31"/>
      <c r="B16" s="31"/>
      <c r="C16" s="31"/>
      <c r="D16" s="31"/>
      <c r="E16" s="31"/>
      <c r="F16" s="31"/>
      <c r="G16" s="31"/>
      <c r="I16" s="31"/>
      <c r="J16" s="125"/>
      <c r="K16" s="125"/>
    </row>
    <row r="17" spans="1:11">
      <c r="A17" s="31"/>
      <c r="B17" s="126" t="s">
        <v>30</v>
      </c>
      <c r="C17" s="126"/>
      <c r="D17" s="127"/>
      <c r="E17" s="126"/>
      <c r="F17" s="127"/>
      <c r="G17" s="126"/>
      <c r="I17" s="31"/>
      <c r="J17" s="125"/>
      <c r="K17" s="125"/>
    </row>
    <row r="18" spans="1:11">
      <c r="A18" s="31"/>
      <c r="B18" s="128" t="s">
        <v>126</v>
      </c>
      <c r="C18" s="128"/>
      <c r="D18" s="127"/>
      <c r="E18" s="128"/>
      <c r="F18" s="127"/>
      <c r="G18" s="128"/>
      <c r="I18" s="31"/>
      <c r="J18" s="125"/>
      <c r="K18" s="125"/>
    </row>
    <row r="19" spans="1:11">
      <c r="A19" s="31"/>
      <c r="B19" s="128" t="str">
        <f>"2. Green Diamond's plan year runs from "&amp;Asmpt!B13&amp;"."</f>
        <v>2. Green Diamond's plan year runs from 7/1/2022 through 6/30/2023.</v>
      </c>
      <c r="C19" s="128"/>
      <c r="D19" s="127"/>
      <c r="E19" s="128"/>
      <c r="F19" s="127"/>
      <c r="G19" s="128"/>
      <c r="I19" s="31"/>
      <c r="J19" s="125"/>
      <c r="K19" s="125"/>
    </row>
    <row r="20" spans="1:11">
      <c r="A20" s="31"/>
      <c r="B20" s="128" t="s">
        <v>175</v>
      </c>
      <c r="C20" s="128"/>
      <c r="D20" s="127"/>
      <c r="E20" s="128"/>
      <c r="F20" s="127"/>
      <c r="G20" s="128"/>
      <c r="I20" s="31"/>
      <c r="J20" s="125"/>
      <c r="K20" s="125"/>
    </row>
    <row r="21" spans="1:11">
      <c r="A21" s="31"/>
      <c r="B21" s="128"/>
      <c r="C21" s="128"/>
      <c r="D21" s="129"/>
      <c r="E21" s="128"/>
      <c r="F21" s="129"/>
      <c r="G21" s="128"/>
      <c r="I21" s="31"/>
      <c r="J21" s="125"/>
      <c r="K21" s="125"/>
    </row>
    <row r="22" spans="1:11">
      <c r="A22" s="31"/>
      <c r="B22" s="125"/>
      <c r="C22" s="125"/>
      <c r="D22" s="125"/>
      <c r="E22" s="125"/>
      <c r="F22" s="125"/>
      <c r="G22" s="125"/>
      <c r="I22" s="31"/>
      <c r="J22" s="125"/>
      <c r="K22" s="125"/>
    </row>
    <row r="23" spans="1:11">
      <c r="A23" s="31"/>
      <c r="B23" s="125"/>
      <c r="C23" s="125"/>
      <c r="D23" s="125"/>
      <c r="E23" s="125"/>
      <c r="F23" s="125"/>
      <c r="G23" s="125"/>
      <c r="I23" s="31"/>
      <c r="J23" s="125"/>
      <c r="K23" s="125"/>
    </row>
    <row r="24" spans="1:11">
      <c r="A24" s="31"/>
      <c r="B24" s="125"/>
      <c r="C24" s="125"/>
      <c r="D24" s="125"/>
      <c r="E24" s="125"/>
      <c r="F24" s="125"/>
      <c r="G24" s="125"/>
      <c r="I24" s="31"/>
      <c r="J24" s="125"/>
      <c r="K24" s="125"/>
    </row>
    <row r="25" spans="1:11">
      <c r="A25" s="31"/>
      <c r="B25" s="125"/>
      <c r="C25" s="125"/>
      <c r="D25" s="125"/>
      <c r="E25" s="125"/>
      <c r="F25" s="125"/>
      <c r="G25" s="125"/>
      <c r="I25" s="31"/>
      <c r="J25" s="125"/>
      <c r="K25" s="125"/>
    </row>
    <row r="26" spans="1:11">
      <c r="A26" s="31"/>
      <c r="B26" s="125"/>
      <c r="C26" s="125"/>
      <c r="D26" s="125"/>
      <c r="E26" s="125"/>
      <c r="F26" s="125"/>
      <c r="G26" s="125"/>
      <c r="I26" s="31"/>
      <c r="J26" s="125"/>
      <c r="K26" s="125"/>
    </row>
    <row r="27" spans="1:11">
      <c r="A27" s="31"/>
      <c r="B27" s="125"/>
      <c r="C27" s="125"/>
      <c r="D27" s="125"/>
      <c r="E27" s="125"/>
      <c r="F27" s="125"/>
      <c r="G27" s="125"/>
      <c r="I27" s="31"/>
      <c r="J27" s="125"/>
      <c r="K27" s="125"/>
    </row>
    <row r="28" spans="1:11">
      <c r="A28" s="31"/>
      <c r="B28" s="125"/>
      <c r="C28" s="125"/>
      <c r="D28" s="125"/>
      <c r="E28" s="125"/>
      <c r="F28" s="125"/>
      <c r="G28" s="125"/>
      <c r="I28" s="31"/>
      <c r="J28" s="125"/>
      <c r="K28" s="125"/>
    </row>
    <row r="29" spans="1:11">
      <c r="A29" s="31"/>
      <c r="B29" s="125"/>
      <c r="C29" s="125"/>
      <c r="D29" s="125"/>
      <c r="E29" s="125"/>
      <c r="F29" s="125"/>
      <c r="G29" s="125"/>
      <c r="I29" s="31"/>
      <c r="J29" s="125"/>
      <c r="K29" s="125"/>
    </row>
    <row r="30" spans="1:11">
      <c r="A30" s="31"/>
      <c r="B30" s="125"/>
      <c r="C30" s="125"/>
      <c r="D30" s="125"/>
      <c r="E30" s="125"/>
      <c r="F30" s="125"/>
      <c r="G30" s="125"/>
      <c r="I30" s="31"/>
      <c r="J30" s="125"/>
      <c r="K30" s="125"/>
    </row>
    <row r="31" spans="1:11">
      <c r="A31" s="31"/>
      <c r="B31" s="125"/>
      <c r="C31" s="125"/>
      <c r="D31" s="125"/>
      <c r="E31" s="125"/>
      <c r="F31" s="125"/>
      <c r="G31" s="125"/>
      <c r="I31" s="31"/>
      <c r="J31" s="125"/>
      <c r="K31" s="125"/>
    </row>
    <row r="32" spans="1:11">
      <c r="A32" s="31"/>
      <c r="B32" s="125"/>
      <c r="C32" s="125"/>
      <c r="D32" s="125"/>
      <c r="E32" s="125"/>
      <c r="F32" s="125"/>
      <c r="G32" s="125"/>
      <c r="I32" s="31"/>
      <c r="J32" s="125"/>
      <c r="K32" s="125"/>
    </row>
    <row r="33" spans="1:11">
      <c r="A33" s="31"/>
      <c r="B33" s="125"/>
      <c r="C33" s="125"/>
      <c r="D33" s="125"/>
      <c r="E33" s="125"/>
      <c r="F33" s="125"/>
      <c r="G33" s="125"/>
      <c r="I33" s="31"/>
      <c r="J33" s="125"/>
      <c r="K33" s="125"/>
    </row>
    <row r="34" spans="1:11">
      <c r="A34" s="31"/>
      <c r="B34" s="125"/>
      <c r="C34" s="125"/>
      <c r="D34" s="125"/>
      <c r="E34" s="125"/>
      <c r="F34" s="125"/>
      <c r="G34" s="125"/>
      <c r="I34" s="31"/>
      <c r="J34" s="125"/>
      <c r="K34" s="125"/>
    </row>
    <row r="35" spans="1:11">
      <c r="A35" s="31"/>
      <c r="B35" s="125"/>
      <c r="C35" s="125"/>
      <c r="D35" s="125"/>
      <c r="E35" s="125"/>
      <c r="F35" s="125"/>
      <c r="G35" s="125"/>
      <c r="I35" s="31"/>
      <c r="J35" s="125"/>
      <c r="K35" s="125"/>
    </row>
    <row r="36" spans="1:11">
      <c r="A36" s="31"/>
      <c r="B36" s="125"/>
      <c r="C36" s="125"/>
      <c r="D36" s="125"/>
      <c r="E36" s="125"/>
      <c r="F36" s="125"/>
      <c r="G36" s="125"/>
      <c r="I36" s="31"/>
      <c r="J36" s="125"/>
      <c r="K36" s="125"/>
    </row>
    <row r="37" spans="1:11">
      <c r="A37" s="31"/>
      <c r="B37" s="125"/>
      <c r="C37" s="125"/>
      <c r="D37" s="125"/>
      <c r="E37" s="125"/>
      <c r="F37" s="125"/>
      <c r="G37" s="125"/>
      <c r="I37" s="31"/>
      <c r="J37" s="125"/>
      <c r="K37" s="125"/>
    </row>
    <row r="38" spans="1:11">
      <c r="A38" s="31"/>
      <c r="B38" s="125"/>
      <c r="C38" s="125"/>
      <c r="D38" s="125"/>
      <c r="E38" s="125"/>
      <c r="F38" s="125"/>
      <c r="G38" s="125"/>
      <c r="I38" s="31"/>
      <c r="J38" s="125"/>
      <c r="K38" s="125"/>
    </row>
    <row r="39" spans="1:11">
      <c r="A39" s="31"/>
      <c r="B39" s="125"/>
      <c r="C39" s="125"/>
      <c r="D39" s="125"/>
      <c r="E39" s="125"/>
      <c r="F39" s="125"/>
      <c r="G39" s="125"/>
      <c r="I39" s="31"/>
      <c r="J39" s="125"/>
      <c r="K39" s="125"/>
    </row>
    <row r="40" spans="1:11">
      <c r="A40" s="31"/>
      <c r="B40" s="125"/>
      <c r="C40" s="125"/>
      <c r="D40" s="125"/>
      <c r="E40" s="125"/>
      <c r="F40" s="125"/>
      <c r="G40" s="125"/>
      <c r="I40" s="31"/>
      <c r="J40" s="125"/>
      <c r="K40" s="125"/>
    </row>
    <row r="41" spans="1:11">
      <c r="A41" s="31"/>
      <c r="B41" s="125"/>
      <c r="C41" s="125"/>
      <c r="D41" s="125"/>
      <c r="E41" s="125"/>
      <c r="F41" s="125"/>
      <c r="G41" s="125"/>
      <c r="I41" s="31"/>
      <c r="J41" s="125"/>
      <c r="K41" s="125"/>
    </row>
    <row r="42" spans="1:11">
      <c r="A42" s="31"/>
      <c r="B42" s="125"/>
      <c r="C42" s="125"/>
      <c r="D42" s="125"/>
      <c r="E42" s="125"/>
      <c r="F42" s="125"/>
      <c r="G42" s="125"/>
      <c r="I42" s="31"/>
      <c r="J42" s="125"/>
      <c r="K42" s="125"/>
    </row>
    <row r="43" spans="1:11">
      <c r="A43" s="31"/>
      <c r="B43" s="125"/>
      <c r="C43" s="125"/>
      <c r="D43" s="125"/>
      <c r="E43" s="125"/>
      <c r="F43" s="125"/>
      <c r="G43" s="125"/>
      <c r="I43" s="31"/>
      <c r="J43" s="125"/>
      <c r="K43" s="125"/>
    </row>
    <row r="44" spans="1:11">
      <c r="A44" s="31"/>
      <c r="B44" s="125"/>
      <c r="C44" s="125"/>
      <c r="D44" s="125"/>
      <c r="E44" s="125"/>
      <c r="F44" s="125"/>
      <c r="G44" s="125"/>
      <c r="I44" s="31"/>
      <c r="J44" s="125"/>
      <c r="K44" s="125"/>
    </row>
    <row r="45" spans="1:11">
      <c r="A45" s="31"/>
      <c r="B45" s="125"/>
      <c r="C45" s="125"/>
      <c r="D45" s="125"/>
      <c r="E45" s="125"/>
      <c r="F45" s="125"/>
      <c r="G45" s="125"/>
      <c r="I45" s="31"/>
      <c r="J45" s="125"/>
      <c r="K45" s="125"/>
    </row>
    <row r="46" spans="1:11">
      <c r="A46" s="31"/>
      <c r="B46" s="125"/>
      <c r="C46" s="125"/>
      <c r="D46" s="125"/>
      <c r="E46" s="125"/>
      <c r="F46" s="125"/>
      <c r="G46" s="125"/>
      <c r="I46" s="31"/>
      <c r="J46" s="125"/>
      <c r="K46" s="125"/>
    </row>
    <row r="47" spans="1:11">
      <c r="A47" s="31"/>
      <c r="B47" s="125"/>
      <c r="C47" s="125"/>
      <c r="D47" s="125"/>
      <c r="E47" s="125"/>
      <c r="F47" s="125"/>
      <c r="G47" s="125"/>
      <c r="I47" s="31"/>
      <c r="J47" s="125"/>
      <c r="K47" s="125"/>
    </row>
  </sheetData>
  <sheetProtection algorithmName="SHA-512" hashValue="W+54ol9rjFqmZYByHIJvdDYbqYyLfqY27juI3agQNnc2YxQClGIX4HwoqXhSlXgxGaNwvFjQO6SN7JVykhyFYw==" saltValue="94FBVpmjtgbyWxkTn6wkOA=="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81"/>
  <sheetViews>
    <sheetView showGridLines="0" workbookViewId="0">
      <selection activeCell="D23" sqref="D23"/>
    </sheetView>
  </sheetViews>
  <sheetFormatPr defaultColWidth="9.140625" defaultRowHeight="15"/>
  <cols>
    <col min="1" max="1" width="48.7109375" style="229" customWidth="1"/>
    <col min="2" max="3" width="24.7109375" style="230" customWidth="1"/>
    <col min="4" max="4" width="22.7109375" style="195" customWidth="1"/>
    <col min="5" max="16384" width="9.140625" style="195"/>
  </cols>
  <sheetData>
    <row r="1" spans="1:5" s="193" customFormat="1" ht="18.75">
      <c r="A1" s="227" t="s">
        <v>169</v>
      </c>
      <c r="B1" s="228" t="s">
        <v>122</v>
      </c>
      <c r="C1" s="228"/>
      <c r="D1" s="192" t="s">
        <v>122</v>
      </c>
    </row>
    <row r="2" spans="1:5" s="194" customFormat="1">
      <c r="A2" s="229" t="s">
        <v>249</v>
      </c>
      <c r="B2" s="230"/>
      <c r="C2" s="230"/>
      <c r="D2" s="29"/>
    </row>
    <row r="3" spans="1:5" s="194" customFormat="1">
      <c r="A3" s="210" t="s">
        <v>240</v>
      </c>
      <c r="B3" s="230"/>
      <c r="C3" s="230"/>
      <c r="D3" s="29"/>
    </row>
    <row r="4" spans="1:5">
      <c r="D4" s="29"/>
    </row>
    <row r="5" spans="1:5" ht="15.75">
      <c r="A5" s="231"/>
      <c r="B5" s="232" t="s">
        <v>35</v>
      </c>
      <c r="C5" s="232" t="s">
        <v>172</v>
      </c>
      <c r="D5" s="29"/>
      <c r="E5" s="29"/>
    </row>
    <row r="6" spans="1:5">
      <c r="A6" s="187" t="s">
        <v>185</v>
      </c>
      <c r="B6" s="189"/>
      <c r="C6" s="190"/>
      <c r="D6" s="29"/>
      <c r="E6" s="29"/>
    </row>
    <row r="7" spans="1:5">
      <c r="A7" s="207" t="s">
        <v>186</v>
      </c>
      <c r="B7" s="233" t="s">
        <v>161</v>
      </c>
      <c r="C7" s="234" t="s">
        <v>187</v>
      </c>
      <c r="D7" s="29"/>
      <c r="E7" s="29"/>
    </row>
    <row r="8" spans="1:5">
      <c r="A8" s="207" t="s">
        <v>188</v>
      </c>
      <c r="B8" s="233" t="s">
        <v>161</v>
      </c>
      <c r="C8" s="234">
        <v>1000</v>
      </c>
      <c r="D8" s="29"/>
      <c r="E8" s="29"/>
    </row>
    <row r="9" spans="1:5">
      <c r="A9" s="207" t="s">
        <v>189</v>
      </c>
      <c r="B9" s="233" t="s">
        <v>161</v>
      </c>
      <c r="C9" s="234">
        <v>1500</v>
      </c>
      <c r="D9" s="29"/>
      <c r="E9" s="29"/>
    </row>
    <row r="10" spans="1:5">
      <c r="A10" s="207" t="s">
        <v>190</v>
      </c>
      <c r="B10" s="233" t="s">
        <v>161</v>
      </c>
      <c r="C10" s="235">
        <f>ROUND(C8/24,2)</f>
        <v>41.67</v>
      </c>
      <c r="D10" s="29"/>
      <c r="E10" s="29"/>
    </row>
    <row r="11" spans="1:5">
      <c r="A11" s="207" t="s">
        <v>191</v>
      </c>
      <c r="B11" s="233" t="s">
        <v>161</v>
      </c>
      <c r="C11" s="235">
        <f>ROUND(C9/24,2)</f>
        <v>62.5</v>
      </c>
      <c r="D11" s="29"/>
      <c r="E11" s="29"/>
    </row>
    <row r="12" spans="1:5">
      <c r="A12" s="187" t="s">
        <v>179</v>
      </c>
      <c r="B12" s="206"/>
      <c r="C12" s="188"/>
      <c r="D12" s="29"/>
      <c r="E12" s="29"/>
    </row>
    <row r="13" spans="1:5">
      <c r="A13" s="207" t="s">
        <v>180</v>
      </c>
      <c r="B13" s="208" t="s">
        <v>257</v>
      </c>
      <c r="C13" s="209" t="s">
        <v>235</v>
      </c>
      <c r="D13" s="29"/>
      <c r="E13" s="29"/>
    </row>
    <row r="14" spans="1:5">
      <c r="A14" s="207" t="s">
        <v>181</v>
      </c>
      <c r="B14" s="208" t="s">
        <v>205</v>
      </c>
      <c r="C14" s="209" t="s">
        <v>236</v>
      </c>
      <c r="D14" s="29"/>
      <c r="E14" s="29"/>
    </row>
    <row r="15" spans="1:5">
      <c r="A15" s="207" t="s">
        <v>250</v>
      </c>
      <c r="B15" s="208" t="s">
        <v>258</v>
      </c>
      <c r="C15" s="209" t="s">
        <v>183</v>
      </c>
      <c r="D15" s="29"/>
      <c r="E15" s="29"/>
    </row>
    <row r="16" spans="1:5">
      <c r="A16" s="207" t="s">
        <v>251</v>
      </c>
      <c r="B16" s="208" t="s">
        <v>259</v>
      </c>
      <c r="C16" s="209" t="s">
        <v>184</v>
      </c>
      <c r="D16" s="29"/>
      <c r="E16" s="29"/>
    </row>
    <row r="17" spans="1:5">
      <c r="A17" s="187" t="s">
        <v>252</v>
      </c>
      <c r="B17" s="206"/>
      <c r="C17" s="191"/>
      <c r="D17" s="29"/>
      <c r="E17" s="29"/>
    </row>
    <row r="18" spans="1:5">
      <c r="A18" s="207" t="s">
        <v>163</v>
      </c>
      <c r="B18" s="208" t="s">
        <v>164</v>
      </c>
      <c r="C18" s="209" t="s">
        <v>164</v>
      </c>
      <c r="D18" s="29"/>
      <c r="E18" s="29"/>
    </row>
    <row r="19" spans="1:5">
      <c r="A19" s="207" t="s">
        <v>192</v>
      </c>
      <c r="B19" s="208" t="s">
        <v>260</v>
      </c>
      <c r="C19" s="209" t="s">
        <v>256</v>
      </c>
      <c r="D19" s="29"/>
      <c r="E19" s="29"/>
    </row>
    <row r="20" spans="1:5">
      <c r="A20" s="207" t="s">
        <v>193</v>
      </c>
      <c r="B20" s="208" t="s">
        <v>261</v>
      </c>
      <c r="C20" s="209" t="s">
        <v>256</v>
      </c>
      <c r="D20" s="29"/>
      <c r="E20" s="29"/>
    </row>
    <row r="21" spans="1:5">
      <c r="A21" s="207" t="s">
        <v>165</v>
      </c>
      <c r="B21" s="208" t="s">
        <v>256</v>
      </c>
      <c r="C21" s="209" t="s">
        <v>256</v>
      </c>
      <c r="D21" s="29"/>
      <c r="E21" s="29"/>
    </row>
    <row r="22" spans="1:5">
      <c r="A22" s="207" t="s">
        <v>166</v>
      </c>
      <c r="B22" s="208" t="s">
        <v>256</v>
      </c>
      <c r="C22" s="209" t="s">
        <v>256</v>
      </c>
      <c r="D22" s="29"/>
      <c r="E22" s="29"/>
    </row>
    <row r="23" spans="1:5">
      <c r="A23" s="207" t="s">
        <v>167</v>
      </c>
      <c r="B23" s="208" t="s">
        <v>256</v>
      </c>
      <c r="C23" s="209" t="s">
        <v>256</v>
      </c>
      <c r="D23" s="29"/>
      <c r="E23" s="29"/>
    </row>
    <row r="24" spans="1:5" s="196" customFormat="1">
      <c r="A24" s="187" t="s">
        <v>237</v>
      </c>
      <c r="B24" s="206"/>
      <c r="C24" s="191"/>
      <c r="D24" s="29"/>
      <c r="E24" s="29"/>
    </row>
    <row r="25" spans="1:5" s="197" customFormat="1">
      <c r="A25" s="207" t="s">
        <v>238</v>
      </c>
      <c r="B25" s="208" t="s">
        <v>164</v>
      </c>
      <c r="C25" s="209" t="s">
        <v>88</v>
      </c>
      <c r="D25" s="29"/>
      <c r="E25" s="29"/>
    </row>
    <row r="26" spans="1:5" s="185" customFormat="1">
      <c r="A26" s="187" t="s">
        <v>168</v>
      </c>
      <c r="B26" s="206"/>
      <c r="C26" s="236"/>
      <c r="D26" s="29"/>
      <c r="E26" s="29"/>
    </row>
    <row r="27" spans="1:5" s="185" customFormat="1">
      <c r="A27" s="207" t="s">
        <v>180</v>
      </c>
      <c r="B27" s="208" t="s">
        <v>262</v>
      </c>
      <c r="C27" s="209" t="s">
        <v>236</v>
      </c>
      <c r="D27" s="29"/>
      <c r="E27" s="29"/>
    </row>
    <row r="28" spans="1:5" s="185" customFormat="1">
      <c r="A28" s="207" t="s">
        <v>181</v>
      </c>
      <c r="B28" s="208" t="s">
        <v>258</v>
      </c>
      <c r="C28" s="209" t="s">
        <v>239</v>
      </c>
      <c r="D28" s="29"/>
      <c r="E28" s="29"/>
    </row>
    <row r="29" spans="1:5" s="185" customFormat="1">
      <c r="A29" s="207" t="s">
        <v>182</v>
      </c>
      <c r="B29" s="208" t="s">
        <v>162</v>
      </c>
      <c r="C29" s="209" t="s">
        <v>162</v>
      </c>
      <c r="D29" s="29"/>
      <c r="E29" s="29"/>
    </row>
    <row r="30" spans="1:5" s="185" customFormat="1">
      <c r="A30" s="207" t="s">
        <v>206</v>
      </c>
      <c r="B30" s="208" t="s">
        <v>207</v>
      </c>
      <c r="C30" s="209" t="s">
        <v>207</v>
      </c>
      <c r="D30" s="29"/>
      <c r="E30" s="29"/>
    </row>
    <row r="31" spans="1:5" s="185" customFormat="1">
      <c r="A31" s="207" t="s">
        <v>250</v>
      </c>
      <c r="B31" s="208" t="s">
        <v>259</v>
      </c>
      <c r="C31" s="209" t="s">
        <v>184</v>
      </c>
      <c r="D31" s="29"/>
      <c r="E31" s="29"/>
    </row>
    <row r="32" spans="1:5" s="185" customFormat="1">
      <c r="A32" s="207" t="s">
        <v>251</v>
      </c>
      <c r="B32" s="208" t="s">
        <v>263</v>
      </c>
      <c r="C32" s="209" t="s">
        <v>208</v>
      </c>
      <c r="D32" s="29"/>
      <c r="E32" s="29"/>
    </row>
    <row r="33" spans="1:5" s="185" customFormat="1">
      <c r="A33" s="187" t="s">
        <v>253</v>
      </c>
      <c r="B33" s="206"/>
      <c r="C33" s="191"/>
      <c r="D33" s="29"/>
      <c r="E33" s="29"/>
    </row>
    <row r="34" spans="1:5" s="185" customFormat="1">
      <c r="A34" s="207" t="s">
        <v>194</v>
      </c>
      <c r="B34" s="208" t="s">
        <v>195</v>
      </c>
      <c r="C34" s="209" t="s">
        <v>256</v>
      </c>
      <c r="D34" s="29"/>
      <c r="E34" s="29"/>
    </row>
    <row r="35" spans="1:5" s="185" customFormat="1">
      <c r="A35" s="207" t="s">
        <v>196</v>
      </c>
      <c r="B35" s="208" t="s">
        <v>197</v>
      </c>
      <c r="C35" s="209" t="s">
        <v>256</v>
      </c>
      <c r="D35" s="29"/>
      <c r="E35" s="29"/>
    </row>
    <row r="36" spans="1:5" s="185" customFormat="1">
      <c r="A36" s="207" t="s">
        <v>198</v>
      </c>
      <c r="B36" s="208" t="s">
        <v>199</v>
      </c>
      <c r="C36" s="209" t="s">
        <v>256</v>
      </c>
      <c r="D36" s="29"/>
      <c r="E36" s="29"/>
    </row>
    <row r="37" spans="1:5" s="185" customFormat="1">
      <c r="A37" s="187" t="s">
        <v>254</v>
      </c>
      <c r="B37" s="206"/>
      <c r="C37" s="191"/>
      <c r="D37" s="29"/>
      <c r="E37" s="29"/>
    </row>
    <row r="38" spans="1:5" s="185" customFormat="1">
      <c r="A38" s="207" t="s">
        <v>194</v>
      </c>
      <c r="B38" s="208" t="s">
        <v>200</v>
      </c>
      <c r="C38" s="209" t="s">
        <v>256</v>
      </c>
      <c r="D38" s="29"/>
      <c r="E38" s="29"/>
    </row>
    <row r="39" spans="1:5" s="185" customFormat="1">
      <c r="A39" s="207" t="s">
        <v>196</v>
      </c>
      <c r="B39" s="208" t="s">
        <v>201</v>
      </c>
      <c r="C39" s="209" t="s">
        <v>256</v>
      </c>
      <c r="D39" s="29"/>
      <c r="E39" s="29"/>
    </row>
    <row r="40" spans="1:5" s="185" customFormat="1">
      <c r="A40" s="207" t="s">
        <v>198</v>
      </c>
      <c r="B40" s="208" t="s">
        <v>199</v>
      </c>
      <c r="C40" s="209" t="s">
        <v>256</v>
      </c>
      <c r="D40" s="29"/>
      <c r="E40" s="29"/>
    </row>
    <row r="41" spans="1:5" s="185" customFormat="1">
      <c r="A41" s="187" t="s">
        <v>255</v>
      </c>
      <c r="B41" s="206"/>
      <c r="C41" s="191"/>
      <c r="D41" s="29"/>
      <c r="E41" s="29"/>
    </row>
    <row r="42" spans="1:5" s="185" customFormat="1">
      <c r="A42" s="207" t="s">
        <v>202</v>
      </c>
      <c r="B42" s="208" t="s">
        <v>203</v>
      </c>
      <c r="C42" s="209" t="s">
        <v>256</v>
      </c>
      <c r="D42" s="29"/>
      <c r="E42" s="29"/>
    </row>
    <row r="43" spans="1:5" s="185" customFormat="1">
      <c r="A43" s="207" t="s">
        <v>204</v>
      </c>
      <c r="B43" s="208" t="s">
        <v>199</v>
      </c>
      <c r="C43" s="209" t="s">
        <v>256</v>
      </c>
      <c r="D43" s="29"/>
      <c r="E43" s="29"/>
    </row>
    <row r="44" spans="1:5" s="185" customFormat="1">
      <c r="A44" s="229"/>
      <c r="B44" s="230"/>
      <c r="C44" s="230"/>
      <c r="D44" s="29"/>
      <c r="E44" s="29"/>
    </row>
    <row r="45" spans="1:5" s="185" customFormat="1">
      <c r="A45" s="229"/>
      <c r="B45" s="230"/>
      <c r="C45" s="230"/>
      <c r="D45" s="29"/>
      <c r="E45" s="29"/>
    </row>
    <row r="46" spans="1:5" s="185" customFormat="1">
      <c r="A46" s="229"/>
      <c r="B46" s="230"/>
      <c r="C46" s="230"/>
      <c r="D46" s="29"/>
      <c r="E46" s="29"/>
    </row>
    <row r="47" spans="1:5" s="185" customFormat="1">
      <c r="A47" s="229"/>
      <c r="B47" s="230"/>
      <c r="C47" s="230"/>
      <c r="D47" s="29"/>
      <c r="E47" s="29"/>
    </row>
    <row r="48" spans="1:5" s="185" customFormat="1">
      <c r="A48" s="229"/>
      <c r="B48" s="230"/>
      <c r="C48" s="230"/>
      <c r="D48" s="29"/>
      <c r="E48" s="29"/>
    </row>
    <row r="49" spans="1:5" s="185" customFormat="1">
      <c r="A49" s="229"/>
      <c r="B49" s="230"/>
      <c r="C49" s="230"/>
      <c r="D49" s="29"/>
      <c r="E49" s="29"/>
    </row>
    <row r="50" spans="1:5" s="185" customFormat="1">
      <c r="A50" s="229"/>
      <c r="B50" s="230"/>
      <c r="C50" s="230"/>
      <c r="D50" s="29"/>
      <c r="E50" s="29"/>
    </row>
    <row r="51" spans="1:5" s="185" customFormat="1">
      <c r="A51" s="229"/>
      <c r="B51" s="230"/>
      <c r="C51" s="230"/>
      <c r="E51" s="29"/>
    </row>
    <row r="52" spans="1:5" s="185" customFormat="1">
      <c r="A52" s="229"/>
      <c r="B52" s="230"/>
      <c r="C52" s="230"/>
      <c r="E52" s="29"/>
    </row>
    <row r="53" spans="1:5" s="185" customFormat="1">
      <c r="A53" s="229"/>
      <c r="B53" s="230"/>
      <c r="C53" s="230"/>
      <c r="E53" s="29"/>
    </row>
    <row r="54" spans="1:5" s="185" customFormat="1">
      <c r="A54" s="229"/>
      <c r="B54" s="230"/>
      <c r="C54" s="230"/>
      <c r="E54" s="29"/>
    </row>
    <row r="55" spans="1:5" s="185" customFormat="1">
      <c r="A55" s="229"/>
      <c r="B55" s="230"/>
      <c r="C55" s="230"/>
      <c r="E55" s="29"/>
    </row>
    <row r="56" spans="1:5" s="185" customFormat="1">
      <c r="A56" s="229"/>
      <c r="B56" s="230"/>
      <c r="C56" s="230"/>
      <c r="E56" s="29"/>
    </row>
    <row r="57" spans="1:5" s="185" customFormat="1">
      <c r="A57" s="229"/>
      <c r="B57" s="230"/>
      <c r="C57" s="230"/>
      <c r="E57" s="29"/>
    </row>
    <row r="58" spans="1:5" s="185" customFormat="1">
      <c r="A58" s="229"/>
      <c r="B58" s="230"/>
      <c r="C58" s="230"/>
      <c r="E58" s="29"/>
    </row>
    <row r="59" spans="1:5" s="185" customFormat="1">
      <c r="A59" s="229"/>
      <c r="B59" s="230"/>
      <c r="C59" s="230"/>
      <c r="E59" s="29"/>
    </row>
    <row r="60" spans="1:5" s="185" customFormat="1">
      <c r="A60" s="229"/>
      <c r="B60" s="230"/>
      <c r="C60" s="230"/>
      <c r="E60" s="29"/>
    </row>
    <row r="61" spans="1:5" s="185" customFormat="1">
      <c r="A61" s="229"/>
      <c r="B61" s="230"/>
      <c r="C61" s="230"/>
      <c r="E61" s="29"/>
    </row>
    <row r="62" spans="1:5" s="185" customFormat="1">
      <c r="A62" s="229"/>
      <c r="B62" s="230"/>
      <c r="C62" s="230"/>
      <c r="E62" s="29"/>
    </row>
    <row r="63" spans="1:5" s="185" customFormat="1">
      <c r="A63" s="229"/>
      <c r="B63" s="230"/>
      <c r="C63" s="230"/>
      <c r="E63" s="29"/>
    </row>
    <row r="64" spans="1:5" s="185" customFormat="1">
      <c r="A64" s="229"/>
      <c r="B64" s="230"/>
      <c r="C64" s="230"/>
      <c r="E64" s="29"/>
    </row>
    <row r="65" spans="1:5" s="185" customFormat="1">
      <c r="A65" s="229"/>
      <c r="B65" s="230"/>
      <c r="C65" s="230"/>
      <c r="E65" s="29"/>
    </row>
    <row r="66" spans="1:5" s="185" customFormat="1">
      <c r="A66" s="229"/>
      <c r="B66" s="230"/>
      <c r="C66" s="230"/>
      <c r="E66" s="29"/>
    </row>
    <row r="67" spans="1:5" s="185" customFormat="1">
      <c r="A67" s="229"/>
      <c r="B67" s="230"/>
      <c r="C67" s="230"/>
      <c r="E67" s="29"/>
    </row>
    <row r="68" spans="1:5" s="185" customFormat="1">
      <c r="A68" s="229"/>
      <c r="B68" s="230"/>
      <c r="C68" s="230"/>
      <c r="E68" s="29"/>
    </row>
    <row r="69" spans="1:5" s="185" customFormat="1">
      <c r="A69" s="229"/>
      <c r="B69" s="230"/>
      <c r="C69" s="230"/>
      <c r="E69" s="29"/>
    </row>
    <row r="70" spans="1:5" s="185" customFormat="1">
      <c r="A70" s="229"/>
      <c r="B70" s="230"/>
      <c r="C70" s="230"/>
      <c r="E70" s="29"/>
    </row>
    <row r="71" spans="1:5" s="185" customFormat="1">
      <c r="A71" s="229"/>
      <c r="B71" s="230"/>
      <c r="C71" s="230"/>
      <c r="E71" s="29"/>
    </row>
    <row r="72" spans="1:5" s="185" customFormat="1">
      <c r="A72" s="229"/>
      <c r="B72" s="230"/>
      <c r="C72" s="230"/>
      <c r="E72" s="29"/>
    </row>
    <row r="73" spans="1:5" s="185" customFormat="1">
      <c r="A73" s="229"/>
      <c r="B73" s="230"/>
      <c r="C73" s="230"/>
    </row>
    <row r="74" spans="1:5" s="185" customFormat="1">
      <c r="A74" s="229"/>
      <c r="B74" s="230"/>
      <c r="C74" s="230"/>
    </row>
    <row r="75" spans="1:5" s="185" customFormat="1">
      <c r="A75" s="229"/>
      <c r="B75" s="230"/>
      <c r="C75" s="230"/>
    </row>
    <row r="76" spans="1:5" s="185" customFormat="1">
      <c r="A76" s="229"/>
      <c r="B76" s="230"/>
      <c r="C76" s="230"/>
    </row>
    <row r="77" spans="1:5" s="185" customFormat="1">
      <c r="A77" s="229"/>
      <c r="B77" s="230"/>
      <c r="C77" s="230"/>
    </row>
    <row r="78" spans="1:5" s="185" customFormat="1">
      <c r="A78" s="229"/>
      <c r="B78" s="230"/>
      <c r="C78" s="230"/>
    </row>
    <row r="79" spans="1:5" s="185" customFormat="1">
      <c r="A79" s="229"/>
      <c r="B79" s="230"/>
      <c r="C79" s="230"/>
    </row>
    <row r="80" spans="1:5" s="185" customFormat="1">
      <c r="A80" s="229"/>
      <c r="B80" s="230"/>
      <c r="C80" s="230"/>
    </row>
    <row r="81" spans="1:3" s="185" customFormat="1">
      <c r="A81" s="229"/>
      <c r="B81" s="230"/>
      <c r="C81" s="230"/>
    </row>
  </sheetData>
  <sheetProtection algorithmName="SHA-512" hashValue="xzFQguzptBCQxZuhB0BmLAZ5ydm31/Xfo+x+UP6M/PNrV0+FV3tkwOmxrpl7JSQjGNDO0cxIe/zttfu9AhX9ew==" saltValue="pLHYOh1DgGhvpzPKYYuUIA=="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I207"/>
  <sheetViews>
    <sheetView zoomScaleNormal="100" zoomScaleSheetLayoutView="100" workbookViewId="0">
      <selection activeCell="A184" sqref="A184"/>
    </sheetView>
  </sheetViews>
  <sheetFormatPr defaultColWidth="9.140625" defaultRowHeight="12.75"/>
  <cols>
    <col min="1" max="1" width="46.7109375" style="29" customWidth="1"/>
    <col min="2" max="4" width="26.5703125" style="29" customWidth="1"/>
    <col min="5" max="7" width="9.140625" style="29"/>
    <col min="8" max="8" width="27.42578125" style="29" bestFit="1" customWidth="1"/>
    <col min="9" max="9" width="23.7109375" style="29" bestFit="1" customWidth="1"/>
    <col min="10" max="10" width="28.7109375" style="29" bestFit="1" customWidth="1"/>
    <col min="11" max="29" width="9.140625" style="29"/>
    <col min="30" max="30" width="25.7109375" style="29" bestFit="1" customWidth="1"/>
    <col min="31" max="31" width="15" style="29" bestFit="1" customWidth="1"/>
    <col min="32" max="16384" width="9.140625" style="29"/>
  </cols>
  <sheetData>
    <row r="2" spans="1:27">
      <c r="A2" s="36" t="s">
        <v>38</v>
      </c>
      <c r="B2" s="37"/>
      <c r="C2" s="37"/>
      <c r="D2" s="37"/>
      <c r="E2" s="36" t="s">
        <v>74</v>
      </c>
      <c r="F2" s="37"/>
      <c r="G2" s="37"/>
      <c r="H2" s="37"/>
      <c r="I2" s="37"/>
      <c r="J2" s="37"/>
      <c r="K2" s="37"/>
      <c r="L2" s="37"/>
      <c r="M2" s="37"/>
      <c r="N2" s="37"/>
      <c r="O2" s="37"/>
      <c r="P2" s="37"/>
    </row>
    <row r="3" spans="1:27">
      <c r="A3" s="37"/>
      <c r="B3" s="37"/>
      <c r="C3" s="37"/>
      <c r="D3" s="37"/>
      <c r="E3" s="37"/>
      <c r="F3" s="37"/>
      <c r="G3" s="37"/>
      <c r="H3" s="37"/>
      <c r="I3" s="37"/>
      <c r="J3" s="37"/>
      <c r="K3" s="37"/>
      <c r="L3" s="37"/>
      <c r="M3" s="37"/>
      <c r="N3" s="37"/>
      <c r="O3" s="37"/>
      <c r="P3" s="37"/>
      <c r="AA3" s="37" t="s">
        <v>39</v>
      </c>
    </row>
    <row r="4" spans="1:27">
      <c r="A4" s="38" t="s">
        <v>40</v>
      </c>
      <c r="B4" s="37"/>
      <c r="C4" s="37"/>
      <c r="D4" s="37"/>
      <c r="E4" s="37"/>
      <c r="F4" s="37"/>
      <c r="G4" s="37"/>
      <c r="H4" s="37"/>
      <c r="I4" s="37"/>
      <c r="J4" s="37"/>
      <c r="K4" s="37"/>
      <c r="L4" s="37"/>
      <c r="M4" s="37"/>
      <c r="N4" s="37"/>
      <c r="O4" s="37"/>
      <c r="P4" s="37"/>
      <c r="AA4" s="37"/>
    </row>
    <row r="5" spans="1:27">
      <c r="A5" s="40" t="s">
        <v>149</v>
      </c>
      <c r="B5" s="39" t="s">
        <v>169</v>
      </c>
      <c r="C5" s="37"/>
      <c r="D5" s="37"/>
      <c r="E5" s="37"/>
      <c r="F5" s="37"/>
      <c r="G5" s="37"/>
      <c r="H5" s="37"/>
      <c r="I5" s="37"/>
      <c r="J5" s="37"/>
      <c r="K5" s="37"/>
      <c r="L5" s="37"/>
      <c r="M5" s="37"/>
      <c r="N5" s="37"/>
      <c r="O5" s="37"/>
      <c r="P5" s="37"/>
      <c r="AA5" s="37"/>
    </row>
    <row r="6" spans="1:27">
      <c r="A6" s="40" t="s">
        <v>150</v>
      </c>
      <c r="B6" s="39" t="s">
        <v>170</v>
      </c>
      <c r="C6" s="37"/>
      <c r="D6" s="37"/>
      <c r="E6" s="37"/>
      <c r="F6" s="37"/>
      <c r="G6" s="37"/>
      <c r="H6" s="37"/>
      <c r="I6" s="37"/>
      <c r="J6" s="37"/>
      <c r="K6" s="37"/>
      <c r="L6" s="37"/>
      <c r="M6" s="37"/>
      <c r="N6" s="37"/>
      <c r="O6" s="37"/>
      <c r="P6" s="37"/>
      <c r="AA6" s="37" t="s">
        <v>41</v>
      </c>
    </row>
    <row r="7" spans="1:27">
      <c r="A7" s="37"/>
      <c r="B7" s="37"/>
      <c r="C7" s="37"/>
      <c r="D7" s="37"/>
      <c r="E7" s="37"/>
      <c r="F7" s="37"/>
      <c r="G7" s="37"/>
      <c r="H7" s="37"/>
      <c r="I7" s="37"/>
      <c r="J7" s="37"/>
      <c r="K7" s="37"/>
      <c r="L7" s="37"/>
      <c r="M7" s="37"/>
      <c r="N7" s="37"/>
      <c r="O7" s="37"/>
      <c r="P7" s="37"/>
      <c r="AA7" s="37"/>
    </row>
    <row r="8" spans="1:27">
      <c r="A8" s="37"/>
      <c r="B8" s="37"/>
      <c r="C8" s="37"/>
      <c r="D8" s="37"/>
      <c r="E8" s="37"/>
      <c r="F8" s="37"/>
      <c r="G8" s="37"/>
      <c r="H8" s="37"/>
      <c r="I8" s="37"/>
      <c r="J8" s="37"/>
      <c r="K8" s="37"/>
      <c r="L8" s="37"/>
      <c r="M8" s="37"/>
      <c r="N8" s="37"/>
      <c r="O8" s="37"/>
      <c r="P8" s="37"/>
      <c r="AA8" s="37"/>
    </row>
    <row r="9" spans="1:27">
      <c r="A9" s="38" t="s">
        <v>133</v>
      </c>
      <c r="B9" s="37"/>
      <c r="C9" s="37"/>
      <c r="D9" s="37"/>
      <c r="E9" s="37"/>
      <c r="F9" s="37"/>
      <c r="G9" s="37"/>
      <c r="H9" s="37"/>
      <c r="I9" s="37"/>
      <c r="J9" s="37"/>
      <c r="K9" s="37"/>
      <c r="L9" s="37"/>
      <c r="M9" s="37"/>
      <c r="N9" s="37"/>
      <c r="O9" s="37"/>
      <c r="P9" s="37"/>
      <c r="AA9" s="37"/>
    </row>
    <row r="10" spans="1:27">
      <c r="A10" s="40" t="s">
        <v>132</v>
      </c>
      <c r="B10" s="54" t="s">
        <v>264</v>
      </c>
      <c r="C10" s="37"/>
      <c r="D10" s="37"/>
      <c r="E10" s="37" t="s">
        <v>134</v>
      </c>
      <c r="F10" s="37"/>
      <c r="G10" s="37"/>
      <c r="H10" s="37"/>
      <c r="I10" s="37"/>
      <c r="J10" s="37"/>
      <c r="K10" s="37"/>
      <c r="L10" s="37"/>
      <c r="M10" s="37"/>
      <c r="N10" s="37"/>
      <c r="O10" s="37"/>
      <c r="P10" s="37"/>
      <c r="AA10" s="37"/>
    </row>
    <row r="11" spans="1:27">
      <c r="A11" s="40" t="s">
        <v>135</v>
      </c>
      <c r="B11" s="152">
        <v>43281</v>
      </c>
      <c r="C11" s="37"/>
      <c r="D11" s="37"/>
      <c r="E11" s="37"/>
      <c r="F11" s="37"/>
      <c r="G11" s="37"/>
      <c r="H11" s="37"/>
      <c r="I11" s="37"/>
      <c r="J11" s="37"/>
      <c r="K11" s="37"/>
      <c r="L11" s="37"/>
      <c r="M11" s="37"/>
      <c r="N11" s="37"/>
      <c r="O11" s="37"/>
      <c r="P11" s="37"/>
      <c r="AA11" s="37"/>
    </row>
    <row r="12" spans="1:27">
      <c r="A12" s="40" t="s">
        <v>136</v>
      </c>
      <c r="B12" s="152">
        <v>43645</v>
      </c>
      <c r="C12" s="37"/>
      <c r="D12" s="37"/>
      <c r="E12" s="37"/>
      <c r="F12" s="37"/>
      <c r="G12" s="37"/>
      <c r="H12" s="37"/>
      <c r="I12" s="37"/>
      <c r="J12" s="37"/>
      <c r="K12" s="37"/>
      <c r="L12" s="37"/>
      <c r="M12" s="37"/>
      <c r="N12" s="37"/>
      <c r="O12" s="37"/>
      <c r="P12" s="37"/>
      <c r="AA12" s="37"/>
    </row>
    <row r="13" spans="1:27">
      <c r="A13" s="40" t="s">
        <v>151</v>
      </c>
      <c r="B13" s="152" t="str">
        <f>TEXT(PY_Start,"m/d/yyyy")&amp;" through "&amp;TEXT(PY_End,"m/d/yyyy")</f>
        <v>7/1/2022 through 6/30/2023</v>
      </c>
      <c r="C13" s="37"/>
      <c r="D13" s="37"/>
      <c r="E13" s="37"/>
      <c r="F13" s="37"/>
      <c r="G13" s="37"/>
      <c r="H13" s="37"/>
      <c r="I13" s="37"/>
      <c r="J13" s="37"/>
      <c r="K13" s="37"/>
      <c r="L13" s="37"/>
      <c r="M13" s="37"/>
      <c r="N13" s="37"/>
      <c r="O13" s="37"/>
      <c r="P13" s="37"/>
      <c r="AA13" s="37"/>
    </row>
    <row r="14" spans="1:27">
      <c r="A14" s="37"/>
      <c r="B14" s="37"/>
      <c r="C14" s="37"/>
      <c r="D14" s="37"/>
      <c r="E14" s="37"/>
      <c r="F14" s="37"/>
      <c r="G14" s="37"/>
      <c r="H14" s="37"/>
      <c r="I14" s="37"/>
      <c r="J14" s="37"/>
      <c r="K14" s="37"/>
      <c r="L14" s="37"/>
      <c r="M14" s="37"/>
      <c r="N14" s="37"/>
      <c r="O14" s="37"/>
      <c r="P14" s="37"/>
      <c r="AA14" s="37"/>
    </row>
    <row r="15" spans="1:27">
      <c r="A15" s="38" t="s">
        <v>140</v>
      </c>
      <c r="B15" s="39" t="s">
        <v>141</v>
      </c>
      <c r="C15" s="37"/>
      <c r="D15" s="37"/>
      <c r="E15" s="37"/>
      <c r="F15" s="37"/>
      <c r="G15" s="37"/>
      <c r="H15" s="37"/>
      <c r="I15" s="37"/>
      <c r="J15" s="37"/>
      <c r="K15" s="37"/>
      <c r="L15" s="37"/>
      <c r="M15" s="37"/>
      <c r="N15" s="37"/>
      <c r="O15" s="37"/>
      <c r="P15" s="37"/>
      <c r="AA15" s="37"/>
    </row>
    <row r="16" spans="1:27" ht="13.5" thickBot="1">
      <c r="A16" s="37"/>
      <c r="B16" s="37"/>
      <c r="C16" s="37"/>
      <c r="D16" s="37"/>
      <c r="E16" s="37"/>
      <c r="F16" s="37"/>
      <c r="G16" s="37"/>
      <c r="H16" s="37"/>
      <c r="I16" s="37"/>
      <c r="J16" s="37"/>
      <c r="K16" s="37"/>
      <c r="L16" s="37"/>
      <c r="M16" s="37"/>
      <c r="N16" s="37"/>
      <c r="O16" s="37"/>
      <c r="P16" s="37"/>
      <c r="AA16" s="37"/>
    </row>
    <row r="17" spans="1:16">
      <c r="A17" s="38" t="s">
        <v>42</v>
      </c>
      <c r="B17" s="38" t="s">
        <v>118</v>
      </c>
      <c r="C17" s="38" t="s">
        <v>145</v>
      </c>
      <c r="D17" s="237" t="s">
        <v>241</v>
      </c>
      <c r="E17" s="38" t="s">
        <v>244</v>
      </c>
    </row>
    <row r="18" spans="1:16">
      <c r="A18" s="40" t="s">
        <v>43</v>
      </c>
      <c r="B18" s="205">
        <v>230</v>
      </c>
      <c r="C18" s="177"/>
      <c r="D18" s="238">
        <v>220</v>
      </c>
      <c r="E18" s="179" t="s">
        <v>265</v>
      </c>
    </row>
    <row r="19" spans="1:16">
      <c r="A19" s="40" t="s">
        <v>110</v>
      </c>
      <c r="B19" s="205">
        <v>205</v>
      </c>
      <c r="C19" s="177"/>
      <c r="D19" s="238">
        <v>195</v>
      </c>
      <c r="E19" s="179" t="s">
        <v>265</v>
      </c>
    </row>
    <row r="20" spans="1:16">
      <c r="A20" s="40" t="s">
        <v>234</v>
      </c>
      <c r="B20" s="205">
        <v>140</v>
      </c>
      <c r="C20" s="178">
        <v>45</v>
      </c>
      <c r="D20" s="238">
        <v>135</v>
      </c>
      <c r="E20" s="179" t="s">
        <v>265</v>
      </c>
    </row>
    <row r="21" spans="1:16">
      <c r="A21" s="40" t="s">
        <v>233</v>
      </c>
      <c r="B21" s="205">
        <v>82</v>
      </c>
      <c r="C21" s="178">
        <v>12</v>
      </c>
      <c r="D21" s="238">
        <v>80</v>
      </c>
      <c r="E21" s="179" t="s">
        <v>265</v>
      </c>
      <c r="F21" s="37"/>
      <c r="G21" s="37"/>
      <c r="H21" s="37"/>
      <c r="I21" s="37"/>
      <c r="J21" s="37"/>
      <c r="K21" s="37"/>
      <c r="L21" s="37"/>
      <c r="M21" s="37"/>
      <c r="N21" s="37"/>
      <c r="O21" s="37"/>
      <c r="P21" s="37"/>
    </row>
    <row r="22" spans="1:16">
      <c r="A22" s="40" t="s">
        <v>111</v>
      </c>
      <c r="B22" s="205">
        <v>350</v>
      </c>
      <c r="C22" s="177"/>
      <c r="D22" s="238">
        <v>335</v>
      </c>
      <c r="E22" s="179" t="s">
        <v>265</v>
      </c>
      <c r="F22" s="37"/>
      <c r="G22" s="37"/>
      <c r="H22" s="37"/>
      <c r="I22" s="37"/>
      <c r="J22" s="37"/>
      <c r="K22" s="37"/>
      <c r="L22" s="37"/>
      <c r="M22" s="37"/>
      <c r="N22" s="37"/>
      <c r="O22" s="37"/>
      <c r="P22" s="37"/>
    </row>
    <row r="23" spans="1:16">
      <c r="A23" s="40" t="s">
        <v>215</v>
      </c>
      <c r="B23" s="205">
        <v>33</v>
      </c>
      <c r="C23" s="177"/>
      <c r="D23" s="238">
        <v>33</v>
      </c>
      <c r="E23" s="37" t="s">
        <v>265</v>
      </c>
      <c r="F23" s="37"/>
      <c r="G23" s="37"/>
      <c r="H23" s="37"/>
      <c r="I23" s="37"/>
      <c r="J23" s="37"/>
      <c r="K23" s="37"/>
      <c r="L23" s="37"/>
      <c r="M23" s="37"/>
      <c r="N23" s="37"/>
      <c r="O23" s="37"/>
      <c r="P23" s="37"/>
    </row>
    <row r="24" spans="1:16">
      <c r="A24" s="40" t="s">
        <v>216</v>
      </c>
      <c r="B24" s="205">
        <v>95</v>
      </c>
      <c r="C24" s="177"/>
      <c r="D24" s="238">
        <v>80</v>
      </c>
      <c r="E24" s="37" t="s">
        <v>265</v>
      </c>
      <c r="F24" s="37"/>
      <c r="G24" s="37"/>
      <c r="H24" s="37"/>
      <c r="I24" s="37"/>
      <c r="J24" s="37"/>
      <c r="K24" s="37"/>
      <c r="L24" s="37"/>
      <c r="M24" s="37"/>
      <c r="N24" s="37"/>
      <c r="O24" s="37"/>
      <c r="P24" s="37"/>
    </row>
    <row r="25" spans="1:16">
      <c r="A25" s="40" t="s">
        <v>112</v>
      </c>
      <c r="B25" s="205">
        <v>315</v>
      </c>
      <c r="C25" s="177"/>
      <c r="D25" s="238">
        <v>295</v>
      </c>
      <c r="E25" s="225" t="s">
        <v>265</v>
      </c>
      <c r="F25" s="37"/>
      <c r="G25" s="37"/>
      <c r="H25" s="37"/>
      <c r="I25" s="37"/>
      <c r="J25" s="37"/>
      <c r="K25" s="37"/>
      <c r="L25" s="37"/>
      <c r="M25" s="37"/>
      <c r="N25" s="37"/>
      <c r="O25" s="37"/>
      <c r="P25" s="37"/>
    </row>
    <row r="26" spans="1:16">
      <c r="A26" s="40" t="s">
        <v>113</v>
      </c>
      <c r="B26" s="205">
        <v>390</v>
      </c>
      <c r="C26" s="177"/>
      <c r="D26" s="238">
        <v>375</v>
      </c>
      <c r="E26" s="225" t="s">
        <v>265</v>
      </c>
      <c r="F26" s="37"/>
      <c r="G26" s="37"/>
      <c r="H26" s="37"/>
      <c r="I26" s="37"/>
      <c r="J26" s="37"/>
      <c r="K26" s="37"/>
      <c r="L26" s="37"/>
      <c r="M26" s="37"/>
      <c r="N26" s="37"/>
      <c r="O26" s="37"/>
      <c r="P26" s="37"/>
    </row>
    <row r="27" spans="1:16">
      <c r="A27" s="40" t="s">
        <v>213</v>
      </c>
      <c r="B27" s="205">
        <v>6500</v>
      </c>
      <c r="C27" s="177"/>
      <c r="D27" s="238">
        <v>5700</v>
      </c>
      <c r="E27" s="37" t="s">
        <v>265</v>
      </c>
      <c r="F27" s="37"/>
      <c r="G27" s="37"/>
      <c r="H27" s="37"/>
      <c r="I27" s="37"/>
      <c r="J27" s="37"/>
      <c r="K27" s="37"/>
      <c r="L27" s="37"/>
      <c r="M27" s="37"/>
      <c r="N27" s="37"/>
      <c r="O27" s="37"/>
      <c r="P27" s="37"/>
    </row>
    <row r="28" spans="1:16">
      <c r="A28" s="40" t="s">
        <v>214</v>
      </c>
      <c r="B28" s="205">
        <v>6500</v>
      </c>
      <c r="C28" s="177"/>
      <c r="D28" s="238">
        <v>6300</v>
      </c>
      <c r="E28" s="37" t="s">
        <v>265</v>
      </c>
      <c r="F28" s="37"/>
      <c r="G28" s="37"/>
      <c r="H28" s="37"/>
      <c r="I28" s="37"/>
      <c r="J28" s="37"/>
      <c r="K28" s="37"/>
      <c r="L28" s="37"/>
      <c r="M28" s="37"/>
      <c r="N28" s="37"/>
      <c r="O28" s="37"/>
      <c r="P28" s="37"/>
    </row>
    <row r="29" spans="1:16">
      <c r="A29" s="40" t="s">
        <v>217</v>
      </c>
      <c r="B29" s="205">
        <v>90</v>
      </c>
      <c r="C29" s="177"/>
      <c r="D29" s="238">
        <v>85</v>
      </c>
      <c r="E29" s="37" t="s">
        <v>265</v>
      </c>
      <c r="F29" s="37"/>
      <c r="G29" s="37"/>
      <c r="H29" s="37"/>
      <c r="I29" s="37"/>
      <c r="J29" s="37"/>
      <c r="K29" s="37"/>
      <c r="L29" s="37"/>
      <c r="M29" s="37"/>
      <c r="N29" s="37"/>
      <c r="O29" s="37"/>
      <c r="P29" s="37"/>
    </row>
    <row r="30" spans="1:16">
      <c r="A30" s="40" t="s">
        <v>218</v>
      </c>
      <c r="B30" s="205">
        <f>135</f>
        <v>135</v>
      </c>
      <c r="C30" s="177"/>
      <c r="D30" s="238">
        <v>125</v>
      </c>
      <c r="E30" s="37" t="s">
        <v>265</v>
      </c>
      <c r="F30" s="37"/>
      <c r="G30" s="37"/>
      <c r="H30" s="37"/>
      <c r="I30" s="37"/>
      <c r="J30" s="37"/>
      <c r="K30" s="37"/>
      <c r="L30" s="37"/>
      <c r="M30" s="37"/>
      <c r="N30" s="37"/>
      <c r="O30" s="37"/>
      <c r="P30" s="37"/>
    </row>
    <row r="31" spans="1:16">
      <c r="A31" s="40" t="s">
        <v>114</v>
      </c>
      <c r="B31" s="205">
        <v>1750</v>
      </c>
      <c r="C31" s="177"/>
      <c r="D31" s="238">
        <v>1750</v>
      </c>
      <c r="E31" s="37" t="s">
        <v>265</v>
      </c>
      <c r="F31" s="37"/>
      <c r="G31" s="37"/>
      <c r="H31" s="37"/>
      <c r="I31" s="37"/>
      <c r="J31" s="37"/>
      <c r="K31" s="37"/>
      <c r="L31" s="37"/>
      <c r="M31" s="37"/>
      <c r="N31" s="37"/>
      <c r="O31" s="37"/>
      <c r="P31" s="37"/>
    </row>
    <row r="32" spans="1:16">
      <c r="A32" s="40" t="s">
        <v>115</v>
      </c>
      <c r="B32" s="205">
        <v>2450</v>
      </c>
      <c r="C32" s="177"/>
      <c r="D32" s="238">
        <v>2450</v>
      </c>
      <c r="E32" s="37" t="s">
        <v>265</v>
      </c>
      <c r="F32" s="37"/>
      <c r="G32" s="37"/>
      <c r="H32" s="37"/>
      <c r="I32" s="37"/>
      <c r="J32" s="37"/>
      <c r="K32" s="37"/>
      <c r="L32" s="37"/>
      <c r="M32" s="37"/>
      <c r="N32" s="37"/>
      <c r="O32" s="37"/>
      <c r="P32" s="37"/>
    </row>
    <row r="33" spans="1:31">
      <c r="A33" s="40" t="s">
        <v>116</v>
      </c>
      <c r="B33" s="205">
        <v>225</v>
      </c>
      <c r="C33" s="177"/>
      <c r="D33" s="238">
        <v>220</v>
      </c>
      <c r="E33" s="226" t="s">
        <v>265</v>
      </c>
      <c r="F33" s="37"/>
      <c r="G33" s="37"/>
      <c r="H33" s="37"/>
      <c r="I33" s="37"/>
      <c r="J33" s="37"/>
      <c r="K33" s="37"/>
      <c r="L33" s="37"/>
      <c r="M33" s="37"/>
      <c r="N33" s="37"/>
      <c r="O33" s="37"/>
      <c r="P33" s="37"/>
    </row>
    <row r="34" spans="1:31">
      <c r="A34" s="40" t="s">
        <v>227</v>
      </c>
      <c r="B34" s="205">
        <v>2300</v>
      </c>
      <c r="C34" s="177"/>
      <c r="D34" s="238">
        <v>2200</v>
      </c>
      <c r="E34" s="37" t="s">
        <v>265</v>
      </c>
      <c r="F34" s="37"/>
      <c r="G34" s="37"/>
      <c r="H34" s="37"/>
      <c r="I34" s="37"/>
      <c r="J34" s="37"/>
      <c r="K34" s="37"/>
      <c r="L34" s="37"/>
      <c r="M34" s="37"/>
      <c r="N34" s="37"/>
      <c r="O34" s="37"/>
      <c r="P34" s="37"/>
    </row>
    <row r="35" spans="1:31">
      <c r="A35" s="40"/>
      <c r="B35" s="198"/>
      <c r="C35" s="177"/>
      <c r="D35" s="239"/>
      <c r="E35" s="37"/>
      <c r="F35" s="37"/>
      <c r="G35" s="37"/>
      <c r="H35" s="37"/>
      <c r="I35" s="37"/>
      <c r="J35" s="37"/>
      <c r="K35" s="37"/>
      <c r="L35" s="37"/>
      <c r="M35" s="37"/>
      <c r="N35" s="37"/>
      <c r="O35" s="37"/>
      <c r="P35" s="37"/>
    </row>
    <row r="36" spans="1:31">
      <c r="A36" s="40" t="s">
        <v>117</v>
      </c>
      <c r="B36" s="205">
        <v>0</v>
      </c>
      <c r="C36" s="177"/>
      <c r="D36" s="240">
        <v>0</v>
      </c>
      <c r="E36" s="37" t="s">
        <v>265</v>
      </c>
      <c r="F36" s="37"/>
      <c r="G36" s="37"/>
      <c r="H36" s="37"/>
      <c r="I36" s="37"/>
      <c r="J36" s="37"/>
      <c r="K36" s="37"/>
      <c r="L36" s="37"/>
      <c r="M36" s="37"/>
      <c r="N36" s="37"/>
      <c r="O36" s="37"/>
      <c r="P36" s="37"/>
    </row>
    <row r="37" spans="1:31">
      <c r="A37" s="40" t="s">
        <v>142</v>
      </c>
      <c r="B37" s="205">
        <v>32000</v>
      </c>
      <c r="C37" s="177"/>
      <c r="D37" s="240">
        <v>30000</v>
      </c>
      <c r="E37" s="37" t="s">
        <v>265</v>
      </c>
      <c r="F37" s="37"/>
      <c r="G37" s="37"/>
      <c r="H37" s="37"/>
      <c r="I37" s="37"/>
      <c r="J37" s="37"/>
      <c r="K37" s="37"/>
      <c r="L37" s="37"/>
      <c r="M37" s="37"/>
      <c r="N37" s="37"/>
      <c r="O37" s="37"/>
      <c r="P37" s="37"/>
    </row>
    <row r="38" spans="1:31" ht="13.5" thickBot="1">
      <c r="A38" s="40" t="s">
        <v>5</v>
      </c>
      <c r="B38" s="205">
        <v>0</v>
      </c>
      <c r="C38" s="177"/>
      <c r="D38" s="241">
        <v>0</v>
      </c>
      <c r="E38" s="37" t="s">
        <v>265</v>
      </c>
      <c r="F38" s="37"/>
      <c r="G38" s="37"/>
      <c r="H38" s="37"/>
      <c r="I38" s="37"/>
      <c r="J38" s="37"/>
      <c r="K38" s="37"/>
      <c r="L38" s="37"/>
      <c r="M38" s="37"/>
      <c r="N38" s="37"/>
      <c r="O38" s="37"/>
      <c r="P38" s="37"/>
    </row>
    <row r="39" spans="1:31">
      <c r="A39" s="37"/>
      <c r="B39" s="41"/>
      <c r="C39" s="37"/>
      <c r="D39" s="37"/>
      <c r="E39" s="37"/>
      <c r="F39" s="37"/>
      <c r="G39" s="37"/>
      <c r="H39" s="37"/>
      <c r="I39" s="37"/>
      <c r="J39" s="37"/>
      <c r="K39" s="37"/>
      <c r="L39" s="37"/>
      <c r="M39" s="37"/>
      <c r="N39" s="37"/>
      <c r="O39" s="37"/>
      <c r="P39" s="37"/>
      <c r="AA39" s="29" t="str">
        <f>VLOOKUP(B43&amp;C43,AC43:AD68,2,FALSE)</f>
        <v>(Less HSA Reimbursement)</v>
      </c>
    </row>
    <row r="40" spans="1:31">
      <c r="A40" s="42" t="s">
        <v>45</v>
      </c>
      <c r="B40" s="43" t="s">
        <v>147</v>
      </c>
      <c r="C40" s="43" t="s">
        <v>148</v>
      </c>
      <c r="D40" s="43" t="s">
        <v>146</v>
      </c>
      <c r="E40" s="37" t="s">
        <v>224</v>
      </c>
      <c r="F40" s="37"/>
      <c r="G40" s="37"/>
      <c r="H40" s="43"/>
      <c r="I40" s="43"/>
      <c r="J40" s="43"/>
      <c r="K40" s="37"/>
      <c r="L40" s="37"/>
      <c r="M40" s="37"/>
      <c r="N40" s="37"/>
      <c r="O40" s="37"/>
      <c r="P40" s="37"/>
      <c r="AA40" s="29" t="str">
        <f>VLOOKUP(B43&amp;C43,AC43:AE68,3,FALSE)</f>
        <v>HSA Rollover</v>
      </c>
    </row>
    <row r="41" spans="1:31">
      <c r="A41" s="42"/>
      <c r="B41" s="43"/>
      <c r="C41" s="43"/>
      <c r="D41" s="43"/>
      <c r="E41" s="37"/>
      <c r="F41" s="37"/>
      <c r="G41" s="37"/>
      <c r="H41" s="43"/>
      <c r="I41" s="43"/>
      <c r="J41" s="43"/>
      <c r="K41" s="37"/>
      <c r="L41" s="37"/>
      <c r="M41" s="37"/>
      <c r="N41" s="37"/>
      <c r="O41" s="37"/>
      <c r="P41" s="37"/>
    </row>
    <row r="42" spans="1:31">
      <c r="A42" s="42" t="s">
        <v>46</v>
      </c>
      <c r="B42" s="43"/>
      <c r="C42" s="43"/>
      <c r="D42" s="43"/>
      <c r="E42" s="37"/>
      <c r="F42" s="37"/>
      <c r="G42" s="37"/>
      <c r="H42" s="43"/>
      <c r="I42" s="43"/>
      <c r="J42" s="43"/>
      <c r="K42" s="37"/>
      <c r="L42" s="37"/>
      <c r="M42" s="37"/>
      <c r="N42" s="37"/>
      <c r="O42" s="37"/>
      <c r="P42" s="37"/>
      <c r="AA42" s="29">
        <v>1</v>
      </c>
      <c r="AB42" s="29">
        <v>2</v>
      </c>
      <c r="AC42" s="29" t="s">
        <v>47</v>
      </c>
    </row>
    <row r="43" spans="1:31">
      <c r="A43" s="40" t="s">
        <v>34</v>
      </c>
      <c r="B43" s="43" t="s">
        <v>35</v>
      </c>
      <c r="C43" s="43" t="s">
        <v>48</v>
      </c>
      <c r="D43" s="43" t="s">
        <v>48</v>
      </c>
      <c r="H43" s="43"/>
      <c r="I43" s="43"/>
      <c r="J43" s="43"/>
      <c r="T43" s="37" t="s">
        <v>49</v>
      </c>
      <c r="Z43" s="29" t="s">
        <v>44</v>
      </c>
      <c r="AA43" s="29" t="s">
        <v>35</v>
      </c>
      <c r="AB43" s="29" t="s">
        <v>35</v>
      </c>
      <c r="AC43" s="29" t="str">
        <f>AA43&amp;AB43</f>
        <v>PPOPPO</v>
      </c>
      <c r="AD43" s="44"/>
      <c r="AE43" s="44"/>
    </row>
    <row r="44" spans="1:31">
      <c r="A44" s="40" t="s">
        <v>50</v>
      </c>
      <c r="B44" s="45">
        <v>500</v>
      </c>
      <c r="C44" s="45">
        <v>2800</v>
      </c>
      <c r="D44" s="45">
        <v>2600</v>
      </c>
      <c r="E44" s="37"/>
      <c r="F44" s="37"/>
      <c r="G44" s="37"/>
      <c r="H44" s="45"/>
      <c r="I44" s="45"/>
      <c r="J44" s="45"/>
      <c r="K44" s="37"/>
      <c r="L44" s="37"/>
      <c r="M44" s="37"/>
      <c r="N44" s="37"/>
      <c r="O44" s="37"/>
      <c r="P44" s="37"/>
      <c r="AA44" s="29" t="s">
        <v>35</v>
      </c>
      <c r="AB44" s="29" t="s">
        <v>51</v>
      </c>
      <c r="AC44" s="29" t="str">
        <f t="shared" ref="AC44:AC68" si="0">AA44&amp;AB44</f>
        <v>PPOHMO</v>
      </c>
      <c r="AD44" s="44"/>
      <c r="AE44" s="44"/>
    </row>
    <row r="45" spans="1:31">
      <c r="A45" s="40" t="s">
        <v>52</v>
      </c>
      <c r="B45" s="45">
        <v>1500</v>
      </c>
      <c r="C45" s="45">
        <v>5600</v>
      </c>
      <c r="D45" s="45">
        <v>5200</v>
      </c>
      <c r="E45" s="37"/>
      <c r="F45" s="37"/>
      <c r="G45" s="37"/>
      <c r="H45" s="45"/>
      <c r="I45" s="45"/>
      <c r="J45" s="45"/>
      <c r="K45" s="37"/>
      <c r="L45" s="37"/>
      <c r="M45" s="37"/>
      <c r="N45" s="37"/>
      <c r="O45" s="37"/>
      <c r="P45" s="37"/>
      <c r="AA45" s="29" t="s">
        <v>35</v>
      </c>
      <c r="AB45" s="29" t="s">
        <v>53</v>
      </c>
      <c r="AC45" s="29" t="str">
        <f t="shared" si="0"/>
        <v>PPOPOS</v>
      </c>
      <c r="AD45" s="44"/>
      <c r="AE45" s="44"/>
    </row>
    <row r="46" spans="1:31">
      <c r="A46" s="40" t="s">
        <v>220</v>
      </c>
      <c r="B46" s="46">
        <v>0.2</v>
      </c>
      <c r="C46" s="46">
        <v>0.2</v>
      </c>
      <c r="D46" s="46">
        <v>0.2</v>
      </c>
      <c r="E46" s="37"/>
      <c r="F46" s="37"/>
      <c r="G46" s="37"/>
      <c r="H46" s="46"/>
      <c r="I46" s="46"/>
      <c r="J46" s="46"/>
      <c r="K46" s="37"/>
      <c r="L46" s="37"/>
      <c r="M46" s="37"/>
      <c r="N46" s="37"/>
      <c r="O46" s="37"/>
      <c r="P46" s="37"/>
      <c r="AA46" s="29" t="s">
        <v>35</v>
      </c>
      <c r="AB46" s="29" t="s">
        <v>48</v>
      </c>
      <c r="AC46" s="29" t="str">
        <f t="shared" si="0"/>
        <v>PPOHSA</v>
      </c>
      <c r="AD46" s="44" t="s">
        <v>54</v>
      </c>
      <c r="AE46" s="44" t="s">
        <v>55</v>
      </c>
    </row>
    <row r="47" spans="1:31">
      <c r="A47" s="47" t="s">
        <v>219</v>
      </c>
      <c r="B47" s="46">
        <v>0.3</v>
      </c>
      <c r="C47" s="46">
        <v>0.2</v>
      </c>
      <c r="D47" s="46">
        <v>0.2</v>
      </c>
      <c r="E47" s="37"/>
      <c r="F47" s="37"/>
      <c r="G47" s="37"/>
      <c r="H47" s="46"/>
      <c r="I47" s="46"/>
      <c r="J47" s="46"/>
      <c r="K47" s="37"/>
      <c r="L47" s="37"/>
      <c r="M47" s="37"/>
      <c r="N47" s="37"/>
      <c r="O47" s="37"/>
      <c r="P47" s="37"/>
      <c r="AD47" s="44"/>
      <c r="AE47" s="44"/>
    </row>
    <row r="48" spans="1:31">
      <c r="A48" s="40" t="s">
        <v>37</v>
      </c>
      <c r="B48" s="45">
        <v>3000</v>
      </c>
      <c r="C48" s="45">
        <v>4500</v>
      </c>
      <c r="D48" s="45">
        <v>4500</v>
      </c>
      <c r="E48" s="37"/>
      <c r="F48" s="37"/>
      <c r="G48" s="37"/>
      <c r="H48" s="45"/>
      <c r="I48" s="45"/>
      <c r="J48" s="45"/>
      <c r="K48" s="37"/>
      <c r="L48" s="37"/>
      <c r="M48" s="37"/>
      <c r="N48" s="37"/>
      <c r="O48" s="37"/>
      <c r="P48" s="37"/>
      <c r="AA48" s="29" t="s">
        <v>35</v>
      </c>
      <c r="AB48" s="29" t="s">
        <v>56</v>
      </c>
      <c r="AC48" s="29" t="str">
        <f t="shared" si="0"/>
        <v>PPOHRA</v>
      </c>
      <c r="AD48" s="44" t="s">
        <v>57</v>
      </c>
      <c r="AE48" s="44" t="s">
        <v>58</v>
      </c>
    </row>
    <row r="49" spans="1:35">
      <c r="A49" s="40" t="s">
        <v>104</v>
      </c>
      <c r="B49" s="45">
        <v>6000</v>
      </c>
      <c r="C49" s="45">
        <v>9000</v>
      </c>
      <c r="D49" s="45">
        <v>9000</v>
      </c>
      <c r="E49" s="37"/>
      <c r="F49" s="37"/>
      <c r="G49" s="37"/>
      <c r="H49" s="45"/>
      <c r="I49" s="45"/>
      <c r="J49" s="45"/>
      <c r="K49" s="37"/>
      <c r="L49" s="37"/>
      <c r="M49" s="37"/>
      <c r="N49" s="37"/>
      <c r="O49" s="37"/>
      <c r="P49" s="37"/>
      <c r="AA49" s="29" t="s">
        <v>51</v>
      </c>
      <c r="AB49" s="29" t="s">
        <v>35</v>
      </c>
      <c r="AC49" s="29" t="str">
        <f t="shared" si="0"/>
        <v>HMOPPO</v>
      </c>
      <c r="AD49" s="44"/>
      <c r="AE49" s="44"/>
    </row>
    <row r="50" spans="1:35">
      <c r="A50" s="40" t="s">
        <v>124</v>
      </c>
      <c r="B50" s="45">
        <v>3000</v>
      </c>
      <c r="C50" s="45">
        <v>4500</v>
      </c>
      <c r="D50" s="45">
        <v>4500</v>
      </c>
      <c r="E50" s="37" t="s">
        <v>105</v>
      </c>
      <c r="F50" s="37"/>
      <c r="G50" s="37"/>
      <c r="H50" s="45"/>
      <c r="I50" s="45"/>
      <c r="J50" s="45"/>
      <c r="K50" s="37"/>
      <c r="L50" s="37"/>
      <c r="M50" s="37"/>
      <c r="N50" s="37"/>
      <c r="O50" s="37"/>
      <c r="P50" s="37"/>
      <c r="AA50" s="29" t="s">
        <v>51</v>
      </c>
      <c r="AB50" s="29" t="s">
        <v>51</v>
      </c>
      <c r="AC50" s="29" t="str">
        <f t="shared" si="0"/>
        <v>HMOHMO</v>
      </c>
      <c r="AD50" s="44"/>
      <c r="AE50" s="44"/>
      <c r="AF50" s="35"/>
      <c r="AG50" s="35"/>
      <c r="AH50" s="35"/>
      <c r="AI50" s="35"/>
    </row>
    <row r="51" spans="1:35" s="35" customFormat="1">
      <c r="A51" s="47" t="s">
        <v>59</v>
      </c>
      <c r="B51" s="48">
        <v>1</v>
      </c>
      <c r="C51" s="48">
        <v>1</v>
      </c>
      <c r="D51" s="48">
        <v>1</v>
      </c>
      <c r="E51" s="44" t="s">
        <v>119</v>
      </c>
      <c r="F51" s="44"/>
      <c r="G51" s="44"/>
      <c r="H51" s="48"/>
      <c r="I51" s="48"/>
      <c r="J51" s="48"/>
      <c r="K51" s="44"/>
      <c r="L51" s="44"/>
      <c r="M51" s="44"/>
      <c r="N51" s="44"/>
      <c r="O51" s="44"/>
      <c r="P51" s="44"/>
      <c r="AA51" s="29" t="s">
        <v>51</v>
      </c>
      <c r="AB51" s="29" t="s">
        <v>53</v>
      </c>
      <c r="AC51" s="29" t="str">
        <f t="shared" si="0"/>
        <v>HMOPOS</v>
      </c>
      <c r="AD51" s="44"/>
      <c r="AE51" s="44"/>
    </row>
    <row r="52" spans="1:35" s="35" customFormat="1">
      <c r="A52" s="47" t="s">
        <v>60</v>
      </c>
      <c r="B52" s="48">
        <v>1</v>
      </c>
      <c r="C52" s="48">
        <v>1</v>
      </c>
      <c r="D52" s="48">
        <v>1</v>
      </c>
      <c r="E52" s="44" t="s">
        <v>119</v>
      </c>
      <c r="F52" s="44"/>
      <c r="G52" s="44"/>
      <c r="H52" s="48"/>
      <c r="I52" s="48"/>
      <c r="J52" s="48"/>
      <c r="K52" s="44"/>
      <c r="L52" s="44"/>
      <c r="M52" s="44"/>
      <c r="N52" s="44"/>
      <c r="O52" s="44"/>
      <c r="P52" s="44"/>
      <c r="AA52" s="29" t="s">
        <v>51</v>
      </c>
      <c r="AB52" s="29" t="s">
        <v>48</v>
      </c>
      <c r="AC52" s="29" t="str">
        <f t="shared" si="0"/>
        <v>HMOHSA</v>
      </c>
      <c r="AD52" s="44" t="s">
        <v>54</v>
      </c>
      <c r="AE52" s="44" t="s">
        <v>55</v>
      </c>
    </row>
    <row r="53" spans="1:35" s="35" customFormat="1">
      <c r="A53" s="47" t="s">
        <v>61</v>
      </c>
      <c r="B53" s="48">
        <v>1</v>
      </c>
      <c r="C53" s="48">
        <v>1</v>
      </c>
      <c r="D53" s="48">
        <v>1</v>
      </c>
      <c r="E53" s="44"/>
      <c r="F53" s="44"/>
      <c r="G53" s="44"/>
      <c r="H53" s="48"/>
      <c r="I53" s="48"/>
      <c r="J53" s="48"/>
      <c r="K53" s="44"/>
      <c r="L53" s="44"/>
      <c r="M53" s="44"/>
      <c r="N53" s="44"/>
      <c r="O53" s="44"/>
      <c r="P53" s="44"/>
      <c r="AA53" s="29" t="s">
        <v>51</v>
      </c>
      <c r="AB53" s="29" t="s">
        <v>56</v>
      </c>
      <c r="AC53" s="29" t="str">
        <f t="shared" si="0"/>
        <v>HMOHRA</v>
      </c>
      <c r="AD53" s="44" t="s">
        <v>54</v>
      </c>
      <c r="AE53" s="44" t="s">
        <v>55</v>
      </c>
    </row>
    <row r="54" spans="1:35" s="35" customFormat="1">
      <c r="A54" s="47" t="s">
        <v>62</v>
      </c>
      <c r="B54" s="48">
        <v>1</v>
      </c>
      <c r="C54" s="48">
        <v>1</v>
      </c>
      <c r="D54" s="48">
        <v>1</v>
      </c>
      <c r="E54" s="44" t="s">
        <v>125</v>
      </c>
      <c r="F54" s="44"/>
      <c r="G54" s="44"/>
      <c r="H54" s="48"/>
      <c r="I54" s="48"/>
      <c r="J54" s="48"/>
      <c r="K54" s="44"/>
      <c r="L54" s="44"/>
      <c r="M54" s="44"/>
      <c r="N54" s="44"/>
      <c r="O54" s="44"/>
      <c r="P54" s="44"/>
      <c r="AA54" s="29" t="s">
        <v>53</v>
      </c>
      <c r="AB54" s="29" t="s">
        <v>35</v>
      </c>
      <c r="AC54" s="29" t="str">
        <f t="shared" si="0"/>
        <v>POSPPO</v>
      </c>
      <c r="AD54" s="44"/>
      <c r="AE54" s="44"/>
    </row>
    <row r="55" spans="1:35" s="35" customFormat="1">
      <c r="A55" s="47"/>
      <c r="B55" s="48"/>
      <c r="C55" s="48"/>
      <c r="D55" s="48"/>
      <c r="E55" s="44"/>
      <c r="F55" s="44"/>
      <c r="G55" s="44"/>
      <c r="H55" s="48"/>
      <c r="I55" s="48"/>
      <c r="J55" s="48"/>
      <c r="K55" s="44"/>
      <c r="L55" s="44"/>
      <c r="M55" s="44"/>
      <c r="N55" s="44"/>
      <c r="O55" s="44"/>
      <c r="P55" s="44"/>
      <c r="AA55" s="29" t="s">
        <v>53</v>
      </c>
      <c r="AB55" s="29" t="s">
        <v>51</v>
      </c>
      <c r="AC55" s="29" t="str">
        <f t="shared" si="0"/>
        <v>POSHMO</v>
      </c>
      <c r="AD55" s="44"/>
      <c r="AE55" s="44"/>
    </row>
    <row r="56" spans="1:35" s="35" customFormat="1">
      <c r="A56" s="49" t="s">
        <v>63</v>
      </c>
      <c r="B56" s="48"/>
      <c r="C56" s="48"/>
      <c r="D56" s="48"/>
      <c r="E56" s="44"/>
      <c r="F56" s="44"/>
      <c r="G56" s="44"/>
      <c r="H56" s="48"/>
      <c r="I56" s="48"/>
      <c r="J56" s="48"/>
      <c r="K56" s="44"/>
      <c r="L56" s="44"/>
      <c r="M56" s="44"/>
      <c r="N56" s="44"/>
      <c r="O56" s="44"/>
      <c r="P56" s="44"/>
      <c r="AA56" s="29" t="s">
        <v>53</v>
      </c>
      <c r="AB56" s="29" t="s">
        <v>53</v>
      </c>
      <c r="AC56" s="29" t="str">
        <f t="shared" si="0"/>
        <v>POSPOS</v>
      </c>
      <c r="AD56" s="44"/>
      <c r="AE56" s="44"/>
      <c r="AF56" s="29"/>
      <c r="AG56" s="29"/>
      <c r="AH56" s="29"/>
      <c r="AI56" s="29"/>
    </row>
    <row r="57" spans="1:35">
      <c r="A57" s="40" t="s">
        <v>64</v>
      </c>
      <c r="E57" s="37"/>
      <c r="F57" s="37"/>
      <c r="G57" s="37"/>
      <c r="K57" s="37"/>
      <c r="L57" s="37"/>
      <c r="M57" s="37"/>
      <c r="N57" s="37"/>
      <c r="O57" s="37"/>
      <c r="P57" s="37"/>
      <c r="AA57" s="29" t="s">
        <v>53</v>
      </c>
      <c r="AB57" s="29" t="s">
        <v>48</v>
      </c>
      <c r="AC57" s="29" t="str">
        <f t="shared" si="0"/>
        <v>POSHSA</v>
      </c>
      <c r="AD57" s="44" t="s">
        <v>54</v>
      </c>
      <c r="AE57" s="44" t="s">
        <v>55</v>
      </c>
    </row>
    <row r="58" spans="1:35">
      <c r="A58" s="50" t="s">
        <v>65</v>
      </c>
      <c r="B58" s="45">
        <v>0</v>
      </c>
      <c r="C58" s="45">
        <v>0</v>
      </c>
      <c r="D58" s="45">
        <v>0</v>
      </c>
      <c r="E58" s="37"/>
      <c r="F58" s="37"/>
      <c r="G58" s="37"/>
      <c r="H58" s="45"/>
      <c r="I58" s="45"/>
      <c r="J58" s="45"/>
      <c r="K58" s="37"/>
      <c r="L58" s="37"/>
      <c r="M58" s="37"/>
      <c r="N58" s="37"/>
      <c r="O58" s="37"/>
      <c r="P58" s="37"/>
      <c r="AA58" s="29" t="s">
        <v>53</v>
      </c>
      <c r="AB58" s="29" t="s">
        <v>56</v>
      </c>
      <c r="AC58" s="29" t="str">
        <f t="shared" si="0"/>
        <v>POSHRA</v>
      </c>
      <c r="AD58" s="44" t="s">
        <v>54</v>
      </c>
      <c r="AE58" s="44" t="s">
        <v>55</v>
      </c>
    </row>
    <row r="59" spans="1:35">
      <c r="A59" s="50" t="s">
        <v>66</v>
      </c>
      <c r="B59" s="51">
        <v>0</v>
      </c>
      <c r="C59" s="51">
        <v>0</v>
      </c>
      <c r="D59" s="51">
        <v>0</v>
      </c>
      <c r="E59" s="37"/>
      <c r="F59" s="37"/>
      <c r="G59" s="37"/>
      <c r="H59" s="51"/>
      <c r="I59" s="51"/>
      <c r="J59" s="51"/>
      <c r="K59" s="37"/>
      <c r="L59" s="37"/>
      <c r="M59" s="37"/>
      <c r="N59" s="37"/>
      <c r="O59" s="37"/>
      <c r="P59" s="37"/>
      <c r="AA59" s="29" t="s">
        <v>56</v>
      </c>
      <c r="AB59" s="29" t="s">
        <v>35</v>
      </c>
      <c r="AC59" s="29" t="str">
        <f t="shared" si="0"/>
        <v>HRAPPO</v>
      </c>
      <c r="AD59" s="44" t="s">
        <v>57</v>
      </c>
      <c r="AE59" s="44" t="s">
        <v>58</v>
      </c>
    </row>
    <row r="60" spans="1:35">
      <c r="A60" s="50" t="s">
        <v>67</v>
      </c>
      <c r="B60" s="45">
        <v>0</v>
      </c>
      <c r="C60" s="45">
        <v>0</v>
      </c>
      <c r="D60" s="45">
        <v>0</v>
      </c>
      <c r="E60" s="37"/>
      <c r="F60" s="37"/>
      <c r="G60" s="37"/>
      <c r="H60" s="45"/>
      <c r="I60" s="45"/>
      <c r="J60" s="45"/>
      <c r="K60" s="37"/>
      <c r="L60" s="37"/>
      <c r="M60" s="37"/>
      <c r="N60" s="37"/>
      <c r="O60" s="37"/>
      <c r="P60" s="37"/>
      <c r="AA60" s="29" t="s">
        <v>56</v>
      </c>
      <c r="AB60" s="29" t="s">
        <v>51</v>
      </c>
      <c r="AC60" s="29" t="str">
        <f t="shared" si="0"/>
        <v>HRAHMO</v>
      </c>
      <c r="AD60" s="44" t="s">
        <v>57</v>
      </c>
      <c r="AE60" s="44" t="s">
        <v>58</v>
      </c>
    </row>
    <row r="61" spans="1:35">
      <c r="A61" s="50" t="s">
        <v>68</v>
      </c>
      <c r="B61" s="51">
        <v>0</v>
      </c>
      <c r="C61" s="51">
        <v>0</v>
      </c>
      <c r="D61" s="51">
        <v>0</v>
      </c>
      <c r="E61" s="37"/>
      <c r="F61" s="37"/>
      <c r="G61" s="37"/>
      <c r="H61" s="51"/>
      <c r="I61" s="51"/>
      <c r="J61" s="51"/>
      <c r="K61" s="37"/>
      <c r="L61" s="37"/>
      <c r="M61" s="37"/>
      <c r="N61" s="37"/>
      <c r="O61" s="37"/>
      <c r="P61" s="37"/>
      <c r="AA61" s="29" t="s">
        <v>56</v>
      </c>
      <c r="AB61" s="29" t="s">
        <v>53</v>
      </c>
      <c r="AC61" s="29" t="str">
        <f t="shared" si="0"/>
        <v>HRAPOS</v>
      </c>
      <c r="AD61" s="44" t="s">
        <v>57</v>
      </c>
      <c r="AE61" s="44" t="s">
        <v>58</v>
      </c>
    </row>
    <row r="62" spans="1:35">
      <c r="A62" s="50" t="s">
        <v>69</v>
      </c>
      <c r="B62" s="51">
        <v>0</v>
      </c>
      <c r="C62" s="51">
        <v>0</v>
      </c>
      <c r="D62" s="51">
        <v>0</v>
      </c>
      <c r="E62" s="37"/>
      <c r="F62" s="37"/>
      <c r="G62" s="37"/>
      <c r="H62" s="51"/>
      <c r="I62" s="51"/>
      <c r="J62" s="51"/>
      <c r="K62" s="37"/>
      <c r="L62" s="37"/>
      <c r="M62" s="37"/>
      <c r="N62" s="37"/>
      <c r="O62" s="37"/>
      <c r="P62" s="37"/>
      <c r="AA62" s="29" t="s">
        <v>56</v>
      </c>
      <c r="AB62" s="29" t="s">
        <v>48</v>
      </c>
      <c r="AC62" s="29" t="str">
        <f t="shared" si="0"/>
        <v>HRAHSA</v>
      </c>
      <c r="AD62" s="44" t="s">
        <v>70</v>
      </c>
      <c r="AE62" s="44" t="s">
        <v>71</v>
      </c>
    </row>
    <row r="63" spans="1:35">
      <c r="A63" s="40" t="s">
        <v>110</v>
      </c>
      <c r="E63" s="37"/>
      <c r="F63" s="37"/>
      <c r="G63" s="37"/>
      <c r="K63" s="37"/>
      <c r="L63" s="37"/>
      <c r="M63" s="37"/>
      <c r="N63" s="37"/>
      <c r="O63" s="37"/>
      <c r="P63" s="37"/>
      <c r="AA63" s="29" t="s">
        <v>56</v>
      </c>
      <c r="AB63" s="29" t="s">
        <v>56</v>
      </c>
      <c r="AC63" s="29" t="str">
        <f t="shared" si="0"/>
        <v>HRAHRA</v>
      </c>
      <c r="AD63" s="44" t="s">
        <v>57</v>
      </c>
      <c r="AE63" s="44" t="s">
        <v>58</v>
      </c>
    </row>
    <row r="64" spans="1:35">
      <c r="A64" s="50" t="s">
        <v>65</v>
      </c>
      <c r="B64" s="45">
        <v>25</v>
      </c>
      <c r="C64" s="45">
        <v>0</v>
      </c>
      <c r="D64" s="45">
        <v>0</v>
      </c>
      <c r="E64" s="37"/>
      <c r="F64" s="37"/>
      <c r="G64" s="37"/>
      <c r="H64" s="45"/>
      <c r="I64" s="45"/>
      <c r="J64" s="45"/>
      <c r="K64" s="37"/>
      <c r="L64" s="37"/>
      <c r="M64" s="37"/>
      <c r="N64" s="37"/>
      <c r="O64" s="37"/>
      <c r="P64" s="37"/>
      <c r="AA64" s="29" t="s">
        <v>48</v>
      </c>
      <c r="AB64" s="29" t="s">
        <v>35</v>
      </c>
      <c r="AC64" s="29" t="str">
        <f t="shared" si="0"/>
        <v>HSAPPO</v>
      </c>
      <c r="AD64" s="44" t="s">
        <v>54</v>
      </c>
      <c r="AE64" s="44" t="s">
        <v>55</v>
      </c>
    </row>
    <row r="65" spans="1:31">
      <c r="A65" s="50" t="s">
        <v>66</v>
      </c>
      <c r="B65" s="51">
        <v>0</v>
      </c>
      <c r="C65" s="51">
        <v>0</v>
      </c>
      <c r="D65" s="51">
        <v>0</v>
      </c>
      <c r="E65" s="37"/>
      <c r="F65" s="37"/>
      <c r="G65" s="37"/>
      <c r="H65" s="51"/>
      <c r="I65" s="51"/>
      <c r="J65" s="51"/>
      <c r="K65" s="37"/>
      <c r="L65" s="37"/>
      <c r="M65" s="37"/>
      <c r="N65" s="37"/>
      <c r="O65" s="37"/>
      <c r="P65" s="37"/>
      <c r="AA65" s="29" t="s">
        <v>48</v>
      </c>
      <c r="AB65" s="29" t="s">
        <v>51</v>
      </c>
      <c r="AC65" s="29" t="str">
        <f t="shared" si="0"/>
        <v>HSAHMO</v>
      </c>
      <c r="AD65" s="44" t="s">
        <v>54</v>
      </c>
      <c r="AE65" s="44" t="s">
        <v>55</v>
      </c>
    </row>
    <row r="66" spans="1:31">
      <c r="A66" s="50" t="s">
        <v>67</v>
      </c>
      <c r="B66" s="45">
        <v>0</v>
      </c>
      <c r="C66" s="45">
        <v>0</v>
      </c>
      <c r="D66" s="45">
        <v>0</v>
      </c>
      <c r="E66" s="37"/>
      <c r="F66" s="37"/>
      <c r="G66" s="37"/>
      <c r="H66" s="45"/>
      <c r="I66" s="45"/>
      <c r="J66" s="45"/>
      <c r="K66" s="37"/>
      <c r="L66" s="37"/>
      <c r="M66" s="37"/>
      <c r="N66" s="37"/>
      <c r="O66" s="37"/>
      <c r="P66" s="37"/>
      <c r="AA66" s="29" t="s">
        <v>48</v>
      </c>
      <c r="AB66" s="29" t="s">
        <v>53</v>
      </c>
      <c r="AC66" s="29" t="str">
        <f t="shared" si="0"/>
        <v>HSAPOS</v>
      </c>
      <c r="AD66" s="44" t="s">
        <v>54</v>
      </c>
      <c r="AE66" s="44" t="s">
        <v>55</v>
      </c>
    </row>
    <row r="67" spans="1:31">
      <c r="A67" s="50" t="s">
        <v>68</v>
      </c>
      <c r="B67" s="51">
        <v>0</v>
      </c>
      <c r="C67" s="51">
        <v>1</v>
      </c>
      <c r="D67" s="51">
        <v>1</v>
      </c>
      <c r="E67" s="37"/>
      <c r="F67" s="37"/>
      <c r="G67" s="37"/>
      <c r="H67" s="51"/>
      <c r="I67" s="51"/>
      <c r="J67" s="51"/>
      <c r="K67" s="37"/>
      <c r="L67" s="37"/>
      <c r="M67" s="37"/>
      <c r="N67" s="37"/>
      <c r="O67" s="37"/>
      <c r="P67" s="37"/>
      <c r="AA67" s="29" t="s">
        <v>48</v>
      </c>
      <c r="AB67" s="29" t="s">
        <v>48</v>
      </c>
      <c r="AC67" s="29" t="str">
        <f t="shared" si="0"/>
        <v>HSAHSA</v>
      </c>
      <c r="AD67" s="44" t="s">
        <v>54</v>
      </c>
      <c r="AE67" s="44" t="s">
        <v>55</v>
      </c>
    </row>
    <row r="68" spans="1:31">
      <c r="A68" s="50" t="s">
        <v>69</v>
      </c>
      <c r="B68" s="51">
        <v>0</v>
      </c>
      <c r="C68" s="51">
        <v>1</v>
      </c>
      <c r="D68" s="51">
        <v>1</v>
      </c>
      <c r="E68" s="37"/>
      <c r="F68" s="37"/>
      <c r="G68" s="37"/>
      <c r="H68" s="51"/>
      <c r="I68" s="51"/>
      <c r="J68" s="51"/>
      <c r="K68" s="37"/>
      <c r="L68" s="37"/>
      <c r="M68" s="37"/>
      <c r="N68" s="37"/>
      <c r="O68" s="37"/>
      <c r="P68" s="37"/>
      <c r="AA68" s="29" t="s">
        <v>48</v>
      </c>
      <c r="AB68" s="29" t="s">
        <v>56</v>
      </c>
      <c r="AC68" s="29" t="str">
        <f t="shared" si="0"/>
        <v>HSAHRA</v>
      </c>
      <c r="AD68" s="44" t="s">
        <v>72</v>
      </c>
      <c r="AE68" s="44" t="s">
        <v>73</v>
      </c>
    </row>
    <row r="69" spans="1:31">
      <c r="A69" s="47" t="s">
        <v>230</v>
      </c>
      <c r="B69" s="51"/>
      <c r="C69" s="51"/>
      <c r="D69" s="51"/>
      <c r="E69" s="37"/>
      <c r="F69" s="37"/>
      <c r="G69" s="37"/>
      <c r="H69" s="51"/>
      <c r="I69" s="51"/>
      <c r="J69" s="51"/>
      <c r="K69" s="37"/>
      <c r="L69" s="37"/>
      <c r="M69" s="37"/>
      <c r="N69" s="37"/>
      <c r="O69" s="37"/>
      <c r="P69" s="37"/>
      <c r="AD69" s="44"/>
      <c r="AE69" s="44"/>
    </row>
    <row r="70" spans="1:31">
      <c r="A70" s="200" t="s">
        <v>65</v>
      </c>
      <c r="B70" s="45">
        <v>40</v>
      </c>
      <c r="C70" s="45">
        <v>0</v>
      </c>
      <c r="D70" s="45">
        <v>0</v>
      </c>
      <c r="E70" s="37"/>
      <c r="F70" s="37"/>
      <c r="G70" s="37"/>
      <c r="H70" s="51"/>
      <c r="I70" s="51"/>
      <c r="J70" s="51"/>
      <c r="K70" s="37"/>
      <c r="L70" s="37"/>
      <c r="M70" s="37"/>
      <c r="N70" s="37"/>
      <c r="O70" s="37"/>
      <c r="P70" s="37"/>
      <c r="AD70" s="44"/>
      <c r="AE70" s="44"/>
    </row>
    <row r="71" spans="1:31">
      <c r="A71" s="200" t="s">
        <v>66</v>
      </c>
      <c r="B71" s="51">
        <v>0</v>
      </c>
      <c r="C71" s="51">
        <v>0</v>
      </c>
      <c r="D71" s="51">
        <v>0</v>
      </c>
      <c r="E71" s="37"/>
      <c r="F71" s="37"/>
      <c r="G71" s="37"/>
      <c r="H71" s="51"/>
      <c r="I71" s="51"/>
      <c r="J71" s="51"/>
      <c r="K71" s="37"/>
      <c r="L71" s="37"/>
      <c r="M71" s="37"/>
      <c r="N71" s="37"/>
      <c r="O71" s="37"/>
      <c r="P71" s="37"/>
      <c r="AD71" s="44"/>
      <c r="AE71" s="44"/>
    </row>
    <row r="72" spans="1:31">
      <c r="A72" s="200" t="s">
        <v>67</v>
      </c>
      <c r="B72" s="45">
        <v>0</v>
      </c>
      <c r="C72" s="45">
        <v>0</v>
      </c>
      <c r="D72" s="45">
        <v>0</v>
      </c>
      <c r="E72" s="37"/>
      <c r="F72" s="37"/>
      <c r="G72" s="37"/>
      <c r="H72" s="51"/>
      <c r="I72" s="51"/>
      <c r="J72" s="51"/>
      <c r="K72" s="37"/>
      <c r="L72" s="37"/>
      <c r="M72" s="37"/>
      <c r="N72" s="37"/>
      <c r="O72" s="37"/>
      <c r="P72" s="37"/>
      <c r="AD72" s="44"/>
      <c r="AE72" s="44"/>
    </row>
    <row r="73" spans="1:31">
      <c r="A73" s="200" t="s">
        <v>68</v>
      </c>
      <c r="B73" s="51">
        <v>0</v>
      </c>
      <c r="C73" s="51">
        <v>1</v>
      </c>
      <c r="D73" s="51">
        <v>1</v>
      </c>
      <c r="E73" s="37"/>
      <c r="F73" s="37"/>
      <c r="G73" s="37"/>
      <c r="H73" s="51"/>
      <c r="I73" s="51"/>
      <c r="J73" s="51"/>
      <c r="K73" s="37"/>
      <c r="L73" s="37"/>
      <c r="M73" s="37"/>
      <c r="N73" s="37"/>
      <c r="O73" s="37"/>
      <c r="P73" s="37"/>
      <c r="AD73" s="44"/>
      <c r="AE73" s="44"/>
    </row>
    <row r="74" spans="1:31">
      <c r="A74" s="200" t="s">
        <v>69</v>
      </c>
      <c r="B74" s="51">
        <v>0</v>
      </c>
      <c r="C74" s="51">
        <v>1</v>
      </c>
      <c r="D74" s="51">
        <v>1</v>
      </c>
      <c r="E74" s="37"/>
      <c r="F74" s="37"/>
      <c r="G74" s="37"/>
      <c r="H74" s="51"/>
      <c r="I74" s="51"/>
      <c r="J74" s="51"/>
      <c r="K74" s="37"/>
      <c r="L74" s="37"/>
      <c r="M74" s="37"/>
      <c r="N74" s="37"/>
      <c r="O74" s="37"/>
      <c r="P74" s="37"/>
      <c r="AD74" s="44"/>
      <c r="AE74" s="44"/>
    </row>
    <row r="75" spans="1:31">
      <c r="A75" s="40" t="s">
        <v>109</v>
      </c>
      <c r="E75" s="37"/>
      <c r="F75" s="37"/>
      <c r="G75" s="37"/>
      <c r="K75" s="37"/>
      <c r="L75" s="37"/>
      <c r="M75" s="37"/>
      <c r="N75" s="37"/>
      <c r="O75" s="37"/>
      <c r="P75" s="37"/>
    </row>
    <row r="76" spans="1:31">
      <c r="A76" s="50" t="s">
        <v>65</v>
      </c>
      <c r="B76" s="45">
        <v>25</v>
      </c>
      <c r="C76" s="45">
        <v>0</v>
      </c>
      <c r="D76" s="45">
        <v>0</v>
      </c>
      <c r="E76" s="37"/>
      <c r="F76" s="37"/>
      <c r="G76" s="37"/>
      <c r="H76" s="45"/>
      <c r="I76" s="45"/>
      <c r="J76" s="45"/>
      <c r="K76" s="37"/>
      <c r="L76" s="37"/>
      <c r="M76" s="37"/>
      <c r="N76" s="37"/>
      <c r="O76" s="37"/>
      <c r="P76" s="37"/>
    </row>
    <row r="77" spans="1:31">
      <c r="A77" s="50" t="s">
        <v>66</v>
      </c>
      <c r="B77" s="51">
        <v>0</v>
      </c>
      <c r="C77" s="51">
        <v>0</v>
      </c>
      <c r="D77" s="51">
        <v>0</v>
      </c>
      <c r="E77" s="37"/>
      <c r="F77" s="37"/>
      <c r="G77" s="37"/>
      <c r="H77" s="51"/>
      <c r="I77" s="51"/>
      <c r="J77" s="51"/>
      <c r="K77" s="37"/>
      <c r="L77" s="37"/>
      <c r="M77" s="37"/>
      <c r="N77" s="37"/>
      <c r="O77" s="37"/>
      <c r="P77" s="37"/>
    </row>
    <row r="78" spans="1:31">
      <c r="A78" s="50" t="s">
        <v>67</v>
      </c>
      <c r="B78" s="45">
        <v>0</v>
      </c>
      <c r="C78" s="45">
        <v>0</v>
      </c>
      <c r="D78" s="45">
        <v>0</v>
      </c>
      <c r="E78" s="37"/>
      <c r="F78" s="37"/>
      <c r="G78" s="37"/>
      <c r="H78" s="45"/>
      <c r="I78" s="45"/>
      <c r="J78" s="45"/>
      <c r="K78" s="37"/>
      <c r="L78" s="37"/>
      <c r="M78" s="37"/>
      <c r="N78" s="37"/>
      <c r="O78" s="37"/>
      <c r="P78" s="37"/>
    </row>
    <row r="79" spans="1:31">
      <c r="A79" s="50" t="s">
        <v>68</v>
      </c>
      <c r="B79" s="51">
        <v>0</v>
      </c>
      <c r="C79" s="51">
        <v>1</v>
      </c>
      <c r="D79" s="51">
        <v>1</v>
      </c>
      <c r="E79" s="37"/>
      <c r="F79" s="37"/>
      <c r="G79" s="37"/>
      <c r="H79" s="51"/>
      <c r="I79" s="51"/>
      <c r="J79" s="51"/>
      <c r="K79" s="37"/>
      <c r="L79" s="37"/>
      <c r="M79" s="37"/>
      <c r="N79" s="37"/>
      <c r="O79" s="37"/>
      <c r="P79" s="37"/>
    </row>
    <row r="80" spans="1:31">
      <c r="A80" s="50" t="s">
        <v>69</v>
      </c>
      <c r="B80" s="51">
        <v>0</v>
      </c>
      <c r="C80" s="51">
        <v>1</v>
      </c>
      <c r="D80" s="51">
        <v>1</v>
      </c>
      <c r="E80" s="37"/>
      <c r="F80" s="37"/>
      <c r="G80" s="37"/>
      <c r="H80" s="51"/>
      <c r="I80" s="51"/>
      <c r="J80" s="51"/>
      <c r="K80" s="37"/>
      <c r="L80" s="37"/>
      <c r="M80" s="37"/>
      <c r="N80" s="37"/>
      <c r="O80" s="37"/>
      <c r="P80" s="37"/>
    </row>
    <row r="81" spans="1:16">
      <c r="A81" s="40" t="s">
        <v>111</v>
      </c>
      <c r="E81" s="37"/>
      <c r="F81" s="37"/>
      <c r="G81" s="37"/>
      <c r="K81" s="37"/>
      <c r="L81" s="37"/>
      <c r="M81" s="37"/>
      <c r="N81" s="37"/>
      <c r="O81" s="37"/>
      <c r="P81" s="37"/>
    </row>
    <row r="82" spans="1:16">
      <c r="A82" s="50" t="s">
        <v>65</v>
      </c>
      <c r="B82" s="45">
        <v>40</v>
      </c>
      <c r="C82" s="45">
        <v>0</v>
      </c>
      <c r="D82" s="45">
        <v>0</v>
      </c>
      <c r="E82" s="37"/>
      <c r="F82" s="37"/>
      <c r="G82" s="37"/>
      <c r="H82" s="45"/>
      <c r="I82" s="45"/>
      <c r="J82" s="45"/>
      <c r="K82" s="37"/>
      <c r="L82" s="37"/>
      <c r="M82" s="37"/>
      <c r="N82" s="37"/>
      <c r="O82" s="37"/>
      <c r="P82" s="37"/>
    </row>
    <row r="83" spans="1:16">
      <c r="A83" s="50" t="s">
        <v>66</v>
      </c>
      <c r="B83" s="51">
        <v>0</v>
      </c>
      <c r="C83" s="51">
        <v>0</v>
      </c>
      <c r="D83" s="51">
        <v>0</v>
      </c>
      <c r="E83" s="37"/>
      <c r="F83" s="37"/>
      <c r="G83" s="37"/>
      <c r="H83" s="51"/>
      <c r="I83" s="51"/>
      <c r="J83" s="51"/>
      <c r="K83" s="37"/>
      <c r="L83" s="37"/>
      <c r="M83" s="37"/>
      <c r="N83" s="37"/>
      <c r="O83" s="37"/>
      <c r="P83" s="37"/>
    </row>
    <row r="84" spans="1:16">
      <c r="A84" s="50" t="s">
        <v>67</v>
      </c>
      <c r="B84" s="45">
        <v>0</v>
      </c>
      <c r="C84" s="45">
        <v>0</v>
      </c>
      <c r="D84" s="45">
        <v>0</v>
      </c>
      <c r="E84" s="37"/>
      <c r="F84" s="37"/>
      <c r="G84" s="37"/>
      <c r="H84" s="45"/>
      <c r="I84" s="45"/>
      <c r="J84" s="45"/>
      <c r="K84" s="37"/>
      <c r="L84" s="37"/>
      <c r="M84" s="37"/>
      <c r="N84" s="37"/>
      <c r="O84" s="37"/>
      <c r="P84" s="37"/>
    </row>
    <row r="85" spans="1:16">
      <c r="A85" s="50" t="s">
        <v>68</v>
      </c>
      <c r="B85" s="51">
        <v>0</v>
      </c>
      <c r="C85" s="51">
        <v>1</v>
      </c>
      <c r="D85" s="51">
        <v>1</v>
      </c>
      <c r="E85" s="37"/>
      <c r="F85" s="37"/>
      <c r="G85" s="37"/>
      <c r="H85" s="51"/>
      <c r="I85" s="51"/>
      <c r="J85" s="51"/>
      <c r="K85" s="37"/>
      <c r="L85" s="37"/>
      <c r="M85" s="37"/>
      <c r="N85" s="37"/>
      <c r="O85" s="37"/>
      <c r="P85" s="37"/>
    </row>
    <row r="86" spans="1:16">
      <c r="A86" s="50" t="s">
        <v>69</v>
      </c>
      <c r="B86" s="51">
        <v>0</v>
      </c>
      <c r="C86" s="51">
        <v>1</v>
      </c>
      <c r="D86" s="51">
        <v>1</v>
      </c>
      <c r="E86" s="37"/>
      <c r="F86" s="37"/>
      <c r="G86" s="37"/>
      <c r="H86" s="51"/>
      <c r="I86" s="51"/>
      <c r="J86" s="51"/>
      <c r="K86" s="37"/>
      <c r="L86" s="37"/>
      <c r="M86" s="37"/>
      <c r="N86" s="37"/>
      <c r="O86" s="37"/>
      <c r="P86" s="37"/>
    </row>
    <row r="87" spans="1:16">
      <c r="A87" s="40" t="s">
        <v>215</v>
      </c>
      <c r="B87" s="35"/>
      <c r="C87" s="35"/>
      <c r="D87" s="35"/>
      <c r="E87" s="38"/>
      <c r="F87" s="38"/>
      <c r="G87" s="38"/>
      <c r="K87" s="38"/>
      <c r="L87" s="38"/>
      <c r="M87" s="38"/>
      <c r="N87" s="38"/>
      <c r="O87" s="38"/>
      <c r="P87" s="38"/>
    </row>
    <row r="88" spans="1:16">
      <c r="A88" s="50" t="s">
        <v>65</v>
      </c>
      <c r="B88" s="45">
        <v>10</v>
      </c>
      <c r="C88" s="45">
        <v>0</v>
      </c>
      <c r="D88" s="45">
        <v>0</v>
      </c>
      <c r="E88" s="38"/>
      <c r="F88" s="38"/>
      <c r="G88" s="38"/>
      <c r="H88" s="45"/>
      <c r="I88" s="45"/>
      <c r="J88" s="45"/>
      <c r="K88" s="38"/>
      <c r="L88" s="38"/>
      <c r="M88" s="38"/>
      <c r="N88" s="38"/>
      <c r="O88" s="38"/>
      <c r="P88" s="38"/>
    </row>
    <row r="89" spans="1:16">
      <c r="A89" s="50" t="s">
        <v>66</v>
      </c>
      <c r="B89" s="51">
        <v>0</v>
      </c>
      <c r="C89" s="51">
        <v>0</v>
      </c>
      <c r="D89" s="51">
        <v>0</v>
      </c>
      <c r="E89" s="38"/>
      <c r="F89" s="38"/>
      <c r="G89" s="38"/>
      <c r="H89" s="51"/>
      <c r="I89" s="51"/>
      <c r="J89" s="51"/>
      <c r="K89" s="38"/>
      <c r="L89" s="38"/>
      <c r="M89" s="38"/>
      <c r="N89" s="38"/>
      <c r="O89" s="38"/>
      <c r="P89" s="38"/>
    </row>
    <row r="90" spans="1:16">
      <c r="A90" s="50" t="s">
        <v>67</v>
      </c>
      <c r="B90" s="45">
        <v>0</v>
      </c>
      <c r="C90" s="45">
        <v>0</v>
      </c>
      <c r="D90" s="45">
        <v>0</v>
      </c>
      <c r="E90" s="38"/>
      <c r="F90" s="38"/>
      <c r="G90" s="38"/>
      <c r="H90" s="45"/>
      <c r="I90" s="45"/>
      <c r="J90" s="45"/>
      <c r="K90" s="38"/>
      <c r="L90" s="38"/>
      <c r="M90" s="38"/>
      <c r="N90" s="38"/>
      <c r="O90" s="38"/>
      <c r="P90" s="38"/>
    </row>
    <row r="91" spans="1:16">
      <c r="A91" s="50" t="s">
        <v>68</v>
      </c>
      <c r="B91" s="51">
        <v>0</v>
      </c>
      <c r="C91" s="51">
        <v>1</v>
      </c>
      <c r="D91" s="51">
        <v>1</v>
      </c>
      <c r="E91" s="38"/>
      <c r="F91" s="38"/>
      <c r="G91" s="38"/>
      <c r="H91" s="51"/>
      <c r="I91" s="51"/>
      <c r="J91" s="51"/>
      <c r="K91" s="38"/>
      <c r="L91" s="38"/>
      <c r="M91" s="38"/>
      <c r="N91" s="38"/>
      <c r="O91" s="38"/>
      <c r="P91" s="38"/>
    </row>
    <row r="92" spans="1:16">
      <c r="A92" s="50" t="s">
        <v>69</v>
      </c>
      <c r="B92" s="51">
        <v>0</v>
      </c>
      <c r="C92" s="51">
        <v>1</v>
      </c>
      <c r="D92" s="51">
        <v>1</v>
      </c>
      <c r="E92" s="38"/>
      <c r="F92" s="38"/>
      <c r="G92" s="38"/>
      <c r="H92" s="51"/>
      <c r="I92" s="51"/>
      <c r="J92" s="51"/>
      <c r="K92" s="38"/>
      <c r="L92" s="38"/>
      <c r="M92" s="38"/>
      <c r="N92" s="38"/>
      <c r="O92" s="38"/>
      <c r="P92" s="38"/>
    </row>
    <row r="93" spans="1:16">
      <c r="A93" s="47" t="s">
        <v>216</v>
      </c>
      <c r="B93" s="35"/>
      <c r="C93" s="35"/>
      <c r="D93" s="35"/>
      <c r="E93" s="38"/>
      <c r="F93" s="38"/>
      <c r="G93" s="38"/>
      <c r="K93" s="38"/>
      <c r="L93" s="38"/>
      <c r="M93" s="38"/>
      <c r="N93" s="38"/>
      <c r="O93" s="38"/>
      <c r="P93" s="38"/>
    </row>
    <row r="94" spans="1:16">
      <c r="A94" s="200" t="s">
        <v>65</v>
      </c>
      <c r="B94" s="45">
        <v>0</v>
      </c>
      <c r="C94" s="45">
        <v>0</v>
      </c>
      <c r="D94" s="45">
        <v>0</v>
      </c>
      <c r="E94" s="38"/>
      <c r="F94" s="38"/>
      <c r="G94" s="38"/>
      <c r="H94" s="45"/>
      <c r="I94" s="45"/>
      <c r="J94" s="45"/>
      <c r="K94" s="38"/>
      <c r="L94" s="38"/>
      <c r="M94" s="38"/>
      <c r="N94" s="38"/>
      <c r="O94" s="38"/>
      <c r="P94" s="38"/>
    </row>
    <row r="95" spans="1:16">
      <c r="A95" s="200" t="s">
        <v>66</v>
      </c>
      <c r="B95" s="51">
        <v>0</v>
      </c>
      <c r="C95" s="51">
        <v>0</v>
      </c>
      <c r="D95" s="51">
        <v>0</v>
      </c>
      <c r="E95" s="38"/>
      <c r="F95" s="38"/>
      <c r="G95" s="38"/>
      <c r="H95" s="51"/>
      <c r="I95" s="51"/>
      <c r="J95" s="51"/>
      <c r="K95" s="38"/>
      <c r="L95" s="38"/>
      <c r="M95" s="38"/>
      <c r="N95" s="38"/>
      <c r="O95" s="38"/>
      <c r="P95" s="38"/>
    </row>
    <row r="96" spans="1:16">
      <c r="A96" s="200" t="s">
        <v>67</v>
      </c>
      <c r="B96" s="45">
        <v>0</v>
      </c>
      <c r="C96" s="45">
        <v>0</v>
      </c>
      <c r="D96" s="45">
        <v>0</v>
      </c>
      <c r="E96" s="38"/>
      <c r="F96" s="38"/>
      <c r="G96" s="38"/>
      <c r="H96" s="45"/>
      <c r="I96" s="45"/>
      <c r="J96" s="45"/>
      <c r="K96" s="38"/>
      <c r="L96" s="38"/>
      <c r="M96" s="38"/>
      <c r="N96" s="38"/>
      <c r="O96" s="38"/>
      <c r="P96" s="38"/>
    </row>
    <row r="97" spans="1:16">
      <c r="A97" s="200" t="s">
        <v>68</v>
      </c>
      <c r="B97" s="51">
        <v>0</v>
      </c>
      <c r="C97" s="51">
        <v>1</v>
      </c>
      <c r="D97" s="51">
        <v>1</v>
      </c>
      <c r="E97" s="38"/>
      <c r="F97" s="38"/>
      <c r="G97" s="38"/>
      <c r="H97" s="51"/>
      <c r="I97" s="51"/>
      <c r="J97" s="51"/>
      <c r="K97" s="38"/>
      <c r="L97" s="38"/>
      <c r="M97" s="38"/>
      <c r="N97" s="38"/>
      <c r="O97" s="38"/>
      <c r="P97" s="38"/>
    </row>
    <row r="98" spans="1:16">
      <c r="A98" s="200" t="s">
        <v>69</v>
      </c>
      <c r="B98" s="51">
        <v>1</v>
      </c>
      <c r="C98" s="51">
        <v>1</v>
      </c>
      <c r="D98" s="51">
        <v>1</v>
      </c>
      <c r="E98" s="38"/>
      <c r="F98" s="38"/>
      <c r="G98" s="38"/>
      <c r="H98" s="51"/>
      <c r="I98" s="51"/>
      <c r="J98" s="51"/>
      <c r="K98" s="38"/>
      <c r="L98" s="38"/>
      <c r="M98" s="38"/>
      <c r="N98" s="38"/>
      <c r="O98" s="38"/>
      <c r="P98" s="38"/>
    </row>
    <row r="99" spans="1:16">
      <c r="A99" s="40" t="s">
        <v>112</v>
      </c>
      <c r="B99" s="35"/>
      <c r="C99" s="35"/>
      <c r="D99" s="35"/>
      <c r="E99" s="38"/>
      <c r="F99" s="38"/>
      <c r="G99" s="38"/>
      <c r="K99" s="38"/>
      <c r="L99" s="38"/>
      <c r="M99" s="38"/>
      <c r="N99" s="38"/>
      <c r="O99" s="38"/>
      <c r="P99" s="38"/>
    </row>
    <row r="100" spans="1:16">
      <c r="A100" s="50" t="s">
        <v>65</v>
      </c>
      <c r="B100" s="45">
        <v>30</v>
      </c>
      <c r="C100" s="45">
        <v>0</v>
      </c>
      <c r="D100" s="45">
        <v>0</v>
      </c>
      <c r="E100" s="38"/>
      <c r="F100" s="38"/>
      <c r="G100" s="38"/>
      <c r="H100" s="45"/>
      <c r="I100" s="45"/>
      <c r="J100" s="45"/>
      <c r="K100" s="38"/>
      <c r="L100" s="38"/>
      <c r="M100" s="38"/>
      <c r="N100" s="38"/>
      <c r="O100" s="38"/>
      <c r="P100" s="38"/>
    </row>
    <row r="101" spans="1:16">
      <c r="A101" s="50" t="s">
        <v>66</v>
      </c>
      <c r="B101" s="51">
        <v>0</v>
      </c>
      <c r="C101" s="51">
        <v>0</v>
      </c>
      <c r="D101" s="51">
        <v>0</v>
      </c>
      <c r="E101" s="38"/>
      <c r="F101" s="38"/>
      <c r="G101" s="38"/>
      <c r="H101" s="51"/>
      <c r="I101" s="51"/>
      <c r="J101" s="51"/>
      <c r="K101" s="38"/>
      <c r="L101" s="38"/>
      <c r="M101" s="38"/>
      <c r="N101" s="38"/>
      <c r="O101" s="38"/>
      <c r="P101" s="38"/>
    </row>
    <row r="102" spans="1:16">
      <c r="A102" s="50" t="s">
        <v>67</v>
      </c>
      <c r="B102" s="45">
        <v>0</v>
      </c>
      <c r="C102" s="45">
        <v>0</v>
      </c>
      <c r="D102" s="45">
        <v>0</v>
      </c>
      <c r="E102" s="38"/>
      <c r="F102" s="38"/>
      <c r="G102" s="38"/>
      <c r="H102" s="45"/>
      <c r="I102" s="45"/>
      <c r="J102" s="45"/>
      <c r="K102" s="38"/>
      <c r="L102" s="38"/>
      <c r="M102" s="38"/>
      <c r="N102" s="38"/>
      <c r="O102" s="38"/>
      <c r="P102" s="38"/>
    </row>
    <row r="103" spans="1:16">
      <c r="A103" s="50" t="s">
        <v>68</v>
      </c>
      <c r="B103" s="51">
        <v>0</v>
      </c>
      <c r="C103" s="51">
        <v>1</v>
      </c>
      <c r="D103" s="51">
        <v>1</v>
      </c>
      <c r="E103" s="38"/>
      <c r="F103" s="38"/>
      <c r="G103" s="38"/>
      <c r="H103" s="51"/>
      <c r="I103" s="51"/>
      <c r="J103" s="51"/>
      <c r="K103" s="38"/>
      <c r="L103" s="38"/>
      <c r="M103" s="38"/>
      <c r="N103" s="38"/>
      <c r="O103" s="38"/>
      <c r="P103" s="38"/>
    </row>
    <row r="104" spans="1:16">
      <c r="A104" s="50" t="s">
        <v>69</v>
      </c>
      <c r="B104" s="51">
        <v>0</v>
      </c>
      <c r="C104" s="51">
        <v>1</v>
      </c>
      <c r="D104" s="51">
        <v>1</v>
      </c>
      <c r="E104" s="38"/>
      <c r="F104" s="38"/>
      <c r="G104" s="38"/>
      <c r="H104" s="51"/>
      <c r="I104" s="51"/>
      <c r="J104" s="51"/>
      <c r="K104" s="38"/>
      <c r="L104" s="38"/>
      <c r="M104" s="38"/>
      <c r="N104" s="38"/>
      <c r="O104" s="38"/>
      <c r="P104" s="38"/>
    </row>
    <row r="105" spans="1:16">
      <c r="A105" s="40" t="s">
        <v>113</v>
      </c>
      <c r="B105" s="35"/>
      <c r="C105" s="35"/>
      <c r="D105" s="35"/>
      <c r="E105" s="38"/>
      <c r="F105" s="38"/>
      <c r="G105" s="38"/>
      <c r="K105" s="38"/>
      <c r="L105" s="38"/>
      <c r="M105" s="38"/>
      <c r="N105" s="38"/>
      <c r="O105" s="38"/>
      <c r="P105" s="38"/>
    </row>
    <row r="106" spans="1:16">
      <c r="A106" s="50" t="s">
        <v>65</v>
      </c>
      <c r="B106" s="45">
        <v>0</v>
      </c>
      <c r="C106" s="45">
        <v>0</v>
      </c>
      <c r="D106" s="45">
        <v>0</v>
      </c>
      <c r="E106" s="38"/>
      <c r="F106" s="38"/>
      <c r="G106" s="38"/>
      <c r="H106" s="45"/>
      <c r="I106" s="45"/>
      <c r="J106" s="45"/>
      <c r="K106" s="38"/>
      <c r="L106" s="38"/>
      <c r="M106" s="38"/>
      <c r="N106" s="38"/>
      <c r="O106" s="38"/>
      <c r="P106" s="38"/>
    </row>
    <row r="107" spans="1:16">
      <c r="A107" s="50" t="s">
        <v>66</v>
      </c>
      <c r="B107" s="51">
        <v>0</v>
      </c>
      <c r="C107" s="51">
        <v>0</v>
      </c>
      <c r="D107" s="51">
        <v>0</v>
      </c>
      <c r="E107" s="38"/>
      <c r="F107" s="38"/>
      <c r="G107" s="38"/>
      <c r="H107" s="51"/>
      <c r="I107" s="51"/>
      <c r="J107" s="51"/>
      <c r="K107" s="38"/>
      <c r="L107" s="38"/>
      <c r="M107" s="38"/>
      <c r="N107" s="38"/>
      <c r="O107" s="38"/>
      <c r="P107" s="38"/>
    </row>
    <row r="108" spans="1:16">
      <c r="A108" s="50" t="s">
        <v>67</v>
      </c>
      <c r="B108" s="45">
        <v>0</v>
      </c>
      <c r="C108" s="45">
        <v>0</v>
      </c>
      <c r="D108" s="45">
        <v>0</v>
      </c>
      <c r="E108" s="38"/>
      <c r="F108" s="38"/>
      <c r="G108" s="38"/>
      <c r="H108" s="45"/>
      <c r="I108" s="45"/>
      <c r="J108" s="45"/>
      <c r="K108" s="38"/>
      <c r="L108" s="38"/>
      <c r="M108" s="38"/>
      <c r="N108" s="38"/>
      <c r="O108" s="38"/>
      <c r="P108" s="38"/>
    </row>
    <row r="109" spans="1:16">
      <c r="A109" s="50" t="s">
        <v>68</v>
      </c>
      <c r="B109" s="51">
        <v>0</v>
      </c>
      <c r="C109" s="51">
        <v>1</v>
      </c>
      <c r="D109" s="51">
        <v>1</v>
      </c>
      <c r="E109" s="38"/>
      <c r="F109" s="38"/>
      <c r="G109" s="38"/>
      <c r="H109" s="51"/>
      <c r="I109" s="51"/>
      <c r="J109" s="51"/>
      <c r="K109" s="38"/>
      <c r="L109" s="38"/>
      <c r="M109" s="38"/>
      <c r="N109" s="38"/>
      <c r="O109" s="38"/>
      <c r="P109" s="38"/>
    </row>
    <row r="110" spans="1:16">
      <c r="A110" s="50" t="s">
        <v>69</v>
      </c>
      <c r="B110" s="51">
        <v>1</v>
      </c>
      <c r="C110" s="51">
        <v>1</v>
      </c>
      <c r="D110" s="51">
        <v>1</v>
      </c>
      <c r="E110" s="38"/>
      <c r="F110" s="38"/>
      <c r="G110" s="38"/>
      <c r="H110" s="51"/>
      <c r="I110" s="51"/>
      <c r="J110" s="51"/>
      <c r="K110" s="38"/>
      <c r="L110" s="38"/>
      <c r="M110" s="38"/>
      <c r="N110" s="38"/>
      <c r="O110" s="38"/>
      <c r="P110" s="38"/>
    </row>
    <row r="111" spans="1:16">
      <c r="A111" s="47" t="s">
        <v>213</v>
      </c>
      <c r="B111" s="35"/>
      <c r="C111" s="35"/>
      <c r="D111" s="35"/>
      <c r="E111" s="38"/>
      <c r="F111" s="38"/>
      <c r="G111" s="38"/>
      <c r="H111" s="51"/>
      <c r="I111" s="51"/>
      <c r="J111" s="51"/>
      <c r="K111" s="38"/>
      <c r="L111" s="38"/>
      <c r="M111" s="38"/>
      <c r="N111" s="38"/>
      <c r="O111" s="38"/>
      <c r="P111" s="38"/>
    </row>
    <row r="112" spans="1:16">
      <c r="A112" s="200" t="s">
        <v>65</v>
      </c>
      <c r="B112" s="45">
        <v>50</v>
      </c>
      <c r="C112" s="45">
        <v>0</v>
      </c>
      <c r="D112" s="45">
        <v>0</v>
      </c>
      <c r="E112" s="38"/>
      <c r="F112" s="38"/>
      <c r="G112" s="38"/>
      <c r="H112" s="51"/>
      <c r="I112" s="51"/>
      <c r="J112" s="51"/>
      <c r="K112" s="38"/>
      <c r="L112" s="38"/>
      <c r="M112" s="38"/>
      <c r="N112" s="38"/>
      <c r="O112" s="38"/>
      <c r="P112" s="38"/>
    </row>
    <row r="113" spans="1:16">
      <c r="A113" s="200" t="s">
        <v>66</v>
      </c>
      <c r="B113" s="51">
        <v>0</v>
      </c>
      <c r="C113" s="51">
        <v>0</v>
      </c>
      <c r="D113" s="51">
        <v>0</v>
      </c>
      <c r="E113" s="38"/>
      <c r="F113" s="38"/>
      <c r="G113" s="38"/>
      <c r="H113" s="51"/>
      <c r="I113" s="51"/>
      <c r="J113" s="51"/>
      <c r="K113" s="38"/>
      <c r="L113" s="38"/>
      <c r="M113" s="38"/>
      <c r="N113" s="38"/>
      <c r="O113" s="38"/>
      <c r="P113" s="38"/>
    </row>
    <row r="114" spans="1:16">
      <c r="A114" s="200" t="s">
        <v>67</v>
      </c>
      <c r="B114" s="45">
        <v>0</v>
      </c>
      <c r="C114" s="45">
        <v>0</v>
      </c>
      <c r="D114" s="45">
        <v>0</v>
      </c>
      <c r="E114" s="38"/>
      <c r="F114" s="38"/>
      <c r="G114" s="38"/>
      <c r="H114" s="51"/>
      <c r="I114" s="51"/>
      <c r="J114" s="51"/>
      <c r="K114" s="38"/>
      <c r="L114" s="38"/>
      <c r="M114" s="38"/>
      <c r="N114" s="38"/>
      <c r="O114" s="38"/>
      <c r="P114" s="38"/>
    </row>
    <row r="115" spans="1:16">
      <c r="A115" s="200" t="s">
        <v>68</v>
      </c>
      <c r="B115" s="51">
        <v>0</v>
      </c>
      <c r="C115" s="51">
        <v>1</v>
      </c>
      <c r="D115" s="51">
        <v>1</v>
      </c>
      <c r="E115" s="38"/>
      <c r="F115" s="38"/>
      <c r="G115" s="38"/>
      <c r="H115" s="51"/>
      <c r="I115" s="51"/>
      <c r="J115" s="51"/>
      <c r="K115" s="38"/>
      <c r="L115" s="38"/>
      <c r="M115" s="38"/>
      <c r="N115" s="38"/>
      <c r="O115" s="38"/>
      <c r="P115" s="38"/>
    </row>
    <row r="116" spans="1:16">
      <c r="A116" s="200" t="s">
        <v>69</v>
      </c>
      <c r="B116" s="51">
        <v>0</v>
      </c>
      <c r="C116" s="51">
        <v>1</v>
      </c>
      <c r="D116" s="51">
        <v>1</v>
      </c>
      <c r="E116" s="38"/>
      <c r="F116" s="38"/>
      <c r="G116" s="38"/>
      <c r="H116" s="51"/>
      <c r="I116" s="51"/>
      <c r="J116" s="51"/>
      <c r="K116" s="38"/>
      <c r="L116" s="38"/>
      <c r="M116" s="38"/>
      <c r="N116" s="38"/>
      <c r="O116" s="38"/>
      <c r="P116" s="38"/>
    </row>
    <row r="117" spans="1:16">
      <c r="A117" s="47" t="s">
        <v>214</v>
      </c>
      <c r="B117" s="35"/>
      <c r="C117" s="35"/>
      <c r="D117" s="35"/>
      <c r="E117" s="38"/>
      <c r="F117" s="38"/>
      <c r="G117" s="38"/>
      <c r="H117" s="51"/>
      <c r="I117" s="51"/>
      <c r="J117" s="51"/>
      <c r="K117" s="38"/>
      <c r="L117" s="38"/>
      <c r="M117" s="38"/>
      <c r="N117" s="38"/>
      <c r="O117" s="38"/>
      <c r="P117" s="38"/>
    </row>
    <row r="118" spans="1:16">
      <c r="A118" s="200" t="s">
        <v>65</v>
      </c>
      <c r="B118" s="45">
        <v>0</v>
      </c>
      <c r="C118" s="45">
        <v>0</v>
      </c>
      <c r="D118" s="45">
        <v>0</v>
      </c>
      <c r="E118" s="38"/>
      <c r="F118" s="38"/>
      <c r="G118" s="38"/>
      <c r="H118" s="51"/>
      <c r="I118" s="51"/>
      <c r="J118" s="51"/>
      <c r="K118" s="38"/>
      <c r="L118" s="38"/>
      <c r="M118" s="38"/>
      <c r="N118" s="38"/>
      <c r="O118" s="38"/>
      <c r="P118" s="38"/>
    </row>
    <row r="119" spans="1:16">
      <c r="A119" s="200" t="s">
        <v>66</v>
      </c>
      <c r="B119" s="51">
        <v>0</v>
      </c>
      <c r="C119" s="51">
        <v>0</v>
      </c>
      <c r="D119" s="51">
        <v>0</v>
      </c>
      <c r="E119" s="38"/>
      <c r="F119" s="38"/>
      <c r="G119" s="38"/>
      <c r="H119" s="51"/>
      <c r="I119" s="51"/>
      <c r="J119" s="51"/>
      <c r="K119" s="38"/>
      <c r="L119" s="38"/>
      <c r="M119" s="38"/>
      <c r="N119" s="38"/>
      <c r="O119" s="38"/>
      <c r="P119" s="38"/>
    </row>
    <row r="120" spans="1:16">
      <c r="A120" s="200" t="s">
        <v>67</v>
      </c>
      <c r="B120" s="45">
        <v>0</v>
      </c>
      <c r="C120" s="45">
        <v>0</v>
      </c>
      <c r="D120" s="45">
        <v>0</v>
      </c>
      <c r="E120" s="38"/>
      <c r="F120" s="38"/>
      <c r="G120" s="38"/>
      <c r="H120" s="51"/>
      <c r="I120" s="51"/>
      <c r="J120" s="51"/>
      <c r="K120" s="38"/>
      <c r="L120" s="38"/>
      <c r="M120" s="38"/>
      <c r="N120" s="38"/>
      <c r="O120" s="38"/>
      <c r="P120" s="38"/>
    </row>
    <row r="121" spans="1:16">
      <c r="A121" s="200" t="s">
        <v>68</v>
      </c>
      <c r="B121" s="51">
        <v>0</v>
      </c>
      <c r="C121" s="51">
        <v>1</v>
      </c>
      <c r="D121" s="51">
        <v>1</v>
      </c>
      <c r="E121" s="38"/>
      <c r="F121" s="38"/>
      <c r="G121" s="38"/>
      <c r="H121" s="51"/>
      <c r="I121" s="51"/>
      <c r="J121" s="51"/>
      <c r="K121" s="38"/>
      <c r="L121" s="38"/>
      <c r="M121" s="38"/>
      <c r="N121" s="38"/>
      <c r="O121" s="38"/>
      <c r="P121" s="38"/>
    </row>
    <row r="122" spans="1:16">
      <c r="A122" s="200" t="s">
        <v>69</v>
      </c>
      <c r="B122" s="51">
        <v>1</v>
      </c>
      <c r="C122" s="51">
        <v>1</v>
      </c>
      <c r="D122" s="51">
        <v>1</v>
      </c>
      <c r="E122" s="38"/>
      <c r="F122" s="38"/>
      <c r="G122" s="38"/>
      <c r="H122" s="51"/>
      <c r="I122" s="51"/>
      <c r="J122" s="51"/>
      <c r="K122" s="38"/>
      <c r="L122" s="38"/>
      <c r="M122" s="38"/>
      <c r="N122" s="38"/>
      <c r="O122" s="38"/>
      <c r="P122" s="38"/>
    </row>
    <row r="123" spans="1:16">
      <c r="A123" s="40" t="s">
        <v>217</v>
      </c>
      <c r="B123" s="35"/>
      <c r="C123" s="35"/>
      <c r="D123" s="35"/>
      <c r="E123" s="37"/>
      <c r="F123" s="37"/>
      <c r="G123" s="37"/>
      <c r="K123" s="37"/>
      <c r="L123" s="37"/>
      <c r="M123" s="37"/>
      <c r="N123" s="37"/>
      <c r="O123" s="37"/>
      <c r="P123" s="37"/>
    </row>
    <row r="124" spans="1:16">
      <c r="A124" s="50" t="s">
        <v>65</v>
      </c>
      <c r="B124" s="55">
        <v>25</v>
      </c>
      <c r="C124" s="55">
        <v>0</v>
      </c>
      <c r="D124" s="55">
        <v>0</v>
      </c>
      <c r="E124" s="37"/>
      <c r="F124" s="37"/>
      <c r="G124" s="37"/>
      <c r="H124" s="45"/>
      <c r="I124" s="45"/>
      <c r="J124" s="45"/>
      <c r="K124" s="37"/>
      <c r="L124" s="37"/>
      <c r="M124" s="37"/>
      <c r="N124" s="37"/>
      <c r="O124" s="37"/>
      <c r="P124" s="37"/>
    </row>
    <row r="125" spans="1:16">
      <c r="A125" s="50" t="s">
        <v>66</v>
      </c>
      <c r="B125" s="51">
        <v>0</v>
      </c>
      <c r="C125" s="51">
        <v>0</v>
      </c>
      <c r="D125" s="51">
        <v>0</v>
      </c>
      <c r="E125" s="37"/>
      <c r="F125" s="37"/>
      <c r="G125" s="37"/>
      <c r="H125" s="51"/>
      <c r="I125" s="51"/>
      <c r="J125" s="51"/>
      <c r="K125" s="37"/>
      <c r="L125" s="37"/>
      <c r="M125" s="37"/>
      <c r="N125" s="37"/>
      <c r="O125" s="37"/>
      <c r="P125" s="37"/>
    </row>
    <row r="126" spans="1:16">
      <c r="A126" s="50" t="s">
        <v>67</v>
      </c>
      <c r="B126" s="45">
        <v>0</v>
      </c>
      <c r="C126" s="45">
        <v>0</v>
      </c>
      <c r="D126" s="45">
        <v>0</v>
      </c>
      <c r="E126" s="37"/>
      <c r="F126" s="37"/>
      <c r="G126" s="37"/>
      <c r="H126" s="45"/>
      <c r="I126" s="45"/>
      <c r="J126" s="45"/>
      <c r="K126" s="37"/>
      <c r="L126" s="37"/>
      <c r="M126" s="37"/>
      <c r="N126" s="37"/>
      <c r="O126" s="37"/>
      <c r="P126" s="37"/>
    </row>
    <row r="127" spans="1:16">
      <c r="A127" s="50" t="s">
        <v>68</v>
      </c>
      <c r="B127" s="51">
        <v>0</v>
      </c>
      <c r="C127" s="51">
        <v>1</v>
      </c>
      <c r="D127" s="51">
        <v>1</v>
      </c>
      <c r="E127" s="37"/>
      <c r="F127" s="37"/>
      <c r="G127" s="37"/>
      <c r="H127" s="51"/>
      <c r="I127" s="51"/>
      <c r="J127" s="51"/>
      <c r="K127" s="37"/>
      <c r="L127" s="37"/>
      <c r="M127" s="37"/>
      <c r="N127" s="37"/>
      <c r="O127" s="37"/>
      <c r="P127" s="37"/>
    </row>
    <row r="128" spans="1:16">
      <c r="A128" s="50" t="s">
        <v>69</v>
      </c>
      <c r="B128" s="51">
        <v>0</v>
      </c>
      <c r="C128" s="51">
        <v>1</v>
      </c>
      <c r="D128" s="51">
        <v>1</v>
      </c>
      <c r="E128" s="37"/>
      <c r="F128" s="37"/>
      <c r="G128" s="37"/>
      <c r="H128" s="51"/>
      <c r="I128" s="51"/>
      <c r="J128" s="51"/>
      <c r="K128" s="37"/>
      <c r="L128" s="37"/>
      <c r="M128" s="37"/>
      <c r="N128" s="37"/>
      <c r="O128" s="37"/>
      <c r="P128" s="37"/>
    </row>
    <row r="129" spans="1:16">
      <c r="A129" s="47" t="s">
        <v>218</v>
      </c>
      <c r="B129" s="35"/>
      <c r="C129" s="35"/>
      <c r="D129" s="35"/>
      <c r="E129" s="37"/>
      <c r="F129" s="37"/>
      <c r="G129" s="37"/>
      <c r="H129" s="51"/>
      <c r="I129" s="51"/>
      <c r="J129" s="51"/>
      <c r="K129" s="37"/>
      <c r="L129" s="37"/>
      <c r="M129" s="37"/>
      <c r="N129" s="37"/>
      <c r="O129" s="37"/>
      <c r="P129" s="37"/>
    </row>
    <row r="130" spans="1:16">
      <c r="A130" s="200" t="s">
        <v>65</v>
      </c>
      <c r="B130" s="55">
        <v>0</v>
      </c>
      <c r="C130" s="55">
        <v>0</v>
      </c>
      <c r="D130" s="55">
        <v>0</v>
      </c>
      <c r="E130" s="37"/>
      <c r="F130" s="37"/>
      <c r="G130" s="37"/>
      <c r="H130" s="51"/>
      <c r="I130" s="51"/>
      <c r="J130" s="51"/>
      <c r="K130" s="37"/>
      <c r="L130" s="37"/>
      <c r="M130" s="37"/>
      <c r="N130" s="37"/>
      <c r="O130" s="37"/>
      <c r="P130" s="37"/>
    </row>
    <row r="131" spans="1:16">
      <c r="A131" s="200" t="s">
        <v>66</v>
      </c>
      <c r="B131" s="51">
        <v>0</v>
      </c>
      <c r="C131" s="51">
        <v>0</v>
      </c>
      <c r="D131" s="51">
        <v>0</v>
      </c>
      <c r="E131" s="37"/>
      <c r="F131" s="37"/>
      <c r="G131" s="37"/>
      <c r="H131" s="51"/>
      <c r="I131" s="51"/>
      <c r="J131" s="51"/>
      <c r="K131" s="37"/>
      <c r="L131" s="37"/>
      <c r="M131" s="37"/>
      <c r="N131" s="37"/>
      <c r="O131" s="37"/>
      <c r="P131" s="37"/>
    </row>
    <row r="132" spans="1:16">
      <c r="A132" s="200" t="s">
        <v>67</v>
      </c>
      <c r="B132" s="45">
        <v>0</v>
      </c>
      <c r="C132" s="45">
        <v>0</v>
      </c>
      <c r="D132" s="45">
        <v>0</v>
      </c>
      <c r="E132" s="37"/>
      <c r="F132" s="37"/>
      <c r="G132" s="37"/>
      <c r="H132" s="51"/>
      <c r="I132" s="51"/>
      <c r="J132" s="51"/>
      <c r="K132" s="37"/>
      <c r="L132" s="37"/>
      <c r="M132" s="37"/>
      <c r="N132" s="37"/>
      <c r="O132" s="37"/>
      <c r="P132" s="37"/>
    </row>
    <row r="133" spans="1:16">
      <c r="A133" s="200" t="s">
        <v>68</v>
      </c>
      <c r="B133" s="51">
        <v>0</v>
      </c>
      <c r="C133" s="51">
        <v>1</v>
      </c>
      <c r="D133" s="51">
        <v>1</v>
      </c>
      <c r="E133" s="37"/>
      <c r="F133" s="37"/>
      <c r="G133" s="37"/>
      <c r="H133" s="51"/>
      <c r="I133" s="51"/>
      <c r="J133" s="51"/>
      <c r="K133" s="37"/>
      <c r="L133" s="37"/>
      <c r="M133" s="37"/>
      <c r="N133" s="37"/>
      <c r="O133" s="37"/>
      <c r="P133" s="37"/>
    </row>
    <row r="134" spans="1:16">
      <c r="A134" s="200" t="s">
        <v>69</v>
      </c>
      <c r="B134" s="51">
        <v>1</v>
      </c>
      <c r="C134" s="51">
        <v>1</v>
      </c>
      <c r="D134" s="51">
        <v>1</v>
      </c>
      <c r="E134" s="37"/>
      <c r="F134" s="37"/>
      <c r="G134" s="37"/>
      <c r="H134" s="51"/>
      <c r="I134" s="51"/>
      <c r="J134" s="51"/>
      <c r="K134" s="37"/>
      <c r="L134" s="37"/>
      <c r="M134" s="37"/>
      <c r="N134" s="37"/>
      <c r="O134" s="37"/>
      <c r="P134" s="37"/>
    </row>
    <row r="135" spans="1:16">
      <c r="A135" s="40" t="s">
        <v>114</v>
      </c>
      <c r="E135" s="37"/>
      <c r="F135" s="37"/>
      <c r="G135" s="37"/>
      <c r="K135" s="37"/>
      <c r="L135" s="37"/>
      <c r="M135" s="37"/>
      <c r="N135" s="37"/>
      <c r="O135" s="37"/>
      <c r="P135" s="37"/>
    </row>
    <row r="136" spans="1:16">
      <c r="A136" s="50" t="s">
        <v>65</v>
      </c>
      <c r="B136" s="45">
        <v>75</v>
      </c>
      <c r="C136" s="45">
        <v>0</v>
      </c>
      <c r="D136" s="45">
        <v>0</v>
      </c>
      <c r="E136" s="37"/>
      <c r="F136" s="37"/>
      <c r="G136" s="37"/>
      <c r="H136" s="45"/>
      <c r="I136" s="45"/>
      <c r="J136" s="45"/>
      <c r="K136" s="37"/>
      <c r="L136" s="37"/>
      <c r="M136" s="37"/>
      <c r="N136" s="37"/>
      <c r="O136" s="37"/>
      <c r="P136" s="37"/>
    </row>
    <row r="137" spans="1:16">
      <c r="A137" s="50" t="s">
        <v>66</v>
      </c>
      <c r="B137" s="51">
        <v>0</v>
      </c>
      <c r="C137" s="51">
        <v>0</v>
      </c>
      <c r="D137" s="51">
        <v>0</v>
      </c>
      <c r="E137" s="37"/>
      <c r="F137" s="37"/>
      <c r="G137" s="37"/>
      <c r="H137" s="51"/>
      <c r="I137" s="51"/>
      <c r="J137" s="51"/>
      <c r="K137" s="37"/>
      <c r="L137" s="37"/>
      <c r="M137" s="37"/>
      <c r="N137" s="37"/>
      <c r="O137" s="37"/>
      <c r="P137" s="37"/>
    </row>
    <row r="138" spans="1:16">
      <c r="A138" s="50" t="s">
        <v>67</v>
      </c>
      <c r="B138" s="45">
        <v>0</v>
      </c>
      <c r="C138" s="45">
        <v>0</v>
      </c>
      <c r="D138" s="45">
        <v>0</v>
      </c>
      <c r="E138" s="37"/>
      <c r="F138" s="37"/>
      <c r="G138" s="37"/>
      <c r="H138" s="45"/>
      <c r="I138" s="45"/>
      <c r="J138" s="45"/>
      <c r="K138" s="37"/>
      <c r="L138" s="37"/>
      <c r="M138" s="37"/>
      <c r="N138" s="37"/>
      <c r="O138" s="37"/>
      <c r="P138" s="37"/>
    </row>
    <row r="139" spans="1:16">
      <c r="A139" s="50" t="s">
        <v>68</v>
      </c>
      <c r="B139" s="51">
        <v>0</v>
      </c>
      <c r="C139" s="51">
        <v>1</v>
      </c>
      <c r="D139" s="51">
        <v>1</v>
      </c>
      <c r="E139" s="37"/>
      <c r="F139" s="37"/>
      <c r="G139" s="37"/>
      <c r="H139" s="51"/>
      <c r="I139" s="51"/>
      <c r="J139" s="51"/>
      <c r="K139" s="37"/>
      <c r="L139" s="37"/>
      <c r="M139" s="37"/>
      <c r="N139" s="37"/>
      <c r="O139" s="37"/>
      <c r="P139" s="37"/>
    </row>
    <row r="140" spans="1:16">
      <c r="A140" s="50" t="s">
        <v>69</v>
      </c>
      <c r="B140" s="51">
        <v>0</v>
      </c>
      <c r="C140" s="51">
        <v>1</v>
      </c>
      <c r="D140" s="51">
        <v>1</v>
      </c>
      <c r="E140" s="37"/>
      <c r="F140" s="37"/>
      <c r="G140" s="37"/>
      <c r="H140" s="51"/>
      <c r="I140" s="51"/>
      <c r="J140" s="51"/>
      <c r="K140" s="37"/>
      <c r="L140" s="37"/>
      <c r="M140" s="37"/>
      <c r="N140" s="37"/>
      <c r="O140" s="37"/>
      <c r="P140" s="37"/>
    </row>
    <row r="141" spans="1:16">
      <c r="A141" s="40" t="s">
        <v>115</v>
      </c>
      <c r="E141" s="37"/>
      <c r="F141" s="37"/>
      <c r="G141" s="37"/>
      <c r="K141" s="37"/>
      <c r="L141" s="37"/>
      <c r="M141" s="37"/>
      <c r="N141" s="37"/>
      <c r="O141" s="37"/>
      <c r="P141" s="37"/>
    </row>
    <row r="142" spans="1:16">
      <c r="A142" s="50" t="s">
        <v>65</v>
      </c>
      <c r="B142" s="45">
        <v>0</v>
      </c>
      <c r="C142" s="45">
        <v>0</v>
      </c>
      <c r="D142" s="45">
        <v>0</v>
      </c>
      <c r="E142" s="37"/>
      <c r="F142" s="37"/>
      <c r="G142" s="37"/>
      <c r="H142" s="45"/>
      <c r="I142" s="45"/>
      <c r="J142" s="45"/>
      <c r="K142" s="37"/>
      <c r="L142" s="37"/>
      <c r="M142" s="37"/>
      <c r="N142" s="37"/>
      <c r="O142" s="37"/>
      <c r="P142" s="37"/>
    </row>
    <row r="143" spans="1:16">
      <c r="A143" s="50" t="s">
        <v>66</v>
      </c>
      <c r="B143" s="51">
        <v>0</v>
      </c>
      <c r="C143" s="51">
        <v>0</v>
      </c>
      <c r="D143" s="51">
        <v>0</v>
      </c>
      <c r="E143" s="37"/>
      <c r="F143" s="37"/>
      <c r="G143" s="37"/>
      <c r="H143" s="51"/>
      <c r="I143" s="51"/>
      <c r="J143" s="51"/>
      <c r="K143" s="37"/>
      <c r="L143" s="37"/>
      <c r="M143" s="37"/>
      <c r="N143" s="37"/>
      <c r="O143" s="37"/>
      <c r="P143" s="37"/>
    </row>
    <row r="144" spans="1:16">
      <c r="A144" s="50" t="s">
        <v>67</v>
      </c>
      <c r="B144" s="45">
        <v>0</v>
      </c>
      <c r="C144" s="45">
        <v>0</v>
      </c>
      <c r="D144" s="45">
        <v>0</v>
      </c>
      <c r="E144" s="37"/>
      <c r="F144" s="37"/>
      <c r="G144" s="37"/>
      <c r="H144" s="45"/>
      <c r="I144" s="45"/>
      <c r="J144" s="45"/>
      <c r="K144" s="37"/>
      <c r="L144" s="37"/>
      <c r="M144" s="37"/>
      <c r="N144" s="37"/>
      <c r="O144" s="37"/>
      <c r="P144" s="37"/>
    </row>
    <row r="145" spans="1:16">
      <c r="A145" s="50" t="s">
        <v>68</v>
      </c>
      <c r="B145" s="51">
        <v>0</v>
      </c>
      <c r="C145" s="51">
        <v>1</v>
      </c>
      <c r="D145" s="51">
        <v>1</v>
      </c>
      <c r="E145" s="37"/>
      <c r="F145" s="37"/>
      <c r="G145" s="37"/>
      <c r="H145" s="51"/>
      <c r="I145" s="51"/>
      <c r="J145" s="51"/>
      <c r="K145" s="37"/>
      <c r="L145" s="37"/>
      <c r="M145" s="37"/>
      <c r="N145" s="37"/>
      <c r="O145" s="37"/>
      <c r="P145" s="37"/>
    </row>
    <row r="146" spans="1:16">
      <c r="A146" s="50" t="s">
        <v>69</v>
      </c>
      <c r="B146" s="51">
        <v>1</v>
      </c>
      <c r="C146" s="51">
        <v>1</v>
      </c>
      <c r="D146" s="51">
        <v>1</v>
      </c>
      <c r="E146" s="37"/>
      <c r="F146" s="37"/>
      <c r="G146" s="37"/>
      <c r="H146" s="51"/>
      <c r="I146" s="51"/>
      <c r="J146" s="51"/>
      <c r="K146" s="37"/>
      <c r="L146" s="37"/>
      <c r="M146" s="37"/>
      <c r="N146" s="37"/>
      <c r="O146" s="37"/>
      <c r="P146" s="37"/>
    </row>
    <row r="147" spans="1:16">
      <c r="A147" s="40" t="s">
        <v>116</v>
      </c>
      <c r="E147" s="37"/>
      <c r="F147" s="37"/>
      <c r="G147" s="37"/>
      <c r="K147" s="37"/>
      <c r="L147" s="37"/>
      <c r="M147" s="37"/>
      <c r="N147" s="37"/>
      <c r="O147" s="37"/>
      <c r="P147" s="37"/>
    </row>
    <row r="148" spans="1:16">
      <c r="A148" s="50" t="s">
        <v>65</v>
      </c>
      <c r="B148" s="45">
        <v>0</v>
      </c>
      <c r="C148" s="45">
        <v>0</v>
      </c>
      <c r="D148" s="45">
        <v>0</v>
      </c>
      <c r="E148" s="37"/>
      <c r="F148" s="37"/>
      <c r="G148" s="37"/>
      <c r="H148" s="45"/>
      <c r="I148" s="45"/>
      <c r="J148" s="45"/>
      <c r="K148" s="37"/>
      <c r="L148" s="37"/>
      <c r="M148" s="37"/>
      <c r="N148" s="37"/>
      <c r="O148" s="37"/>
      <c r="P148" s="37"/>
    </row>
    <row r="149" spans="1:16">
      <c r="A149" s="50" t="s">
        <v>66</v>
      </c>
      <c r="B149" s="51">
        <v>0</v>
      </c>
      <c r="C149" s="51">
        <v>0</v>
      </c>
      <c r="D149" s="51">
        <v>0</v>
      </c>
      <c r="E149" s="37"/>
      <c r="F149" s="37"/>
      <c r="G149" s="37"/>
      <c r="H149" s="51"/>
      <c r="I149" s="51"/>
      <c r="J149" s="51"/>
      <c r="K149" s="37"/>
      <c r="L149" s="37"/>
      <c r="M149" s="37"/>
      <c r="N149" s="37"/>
      <c r="O149" s="37"/>
      <c r="P149" s="37"/>
    </row>
    <row r="150" spans="1:16">
      <c r="A150" s="50" t="s">
        <v>67</v>
      </c>
      <c r="B150" s="45">
        <v>0</v>
      </c>
      <c r="C150" s="45">
        <v>0</v>
      </c>
      <c r="D150" s="45">
        <v>0</v>
      </c>
      <c r="E150" s="37"/>
      <c r="F150" s="37"/>
      <c r="G150" s="37"/>
      <c r="H150" s="45"/>
      <c r="I150" s="45"/>
      <c r="J150" s="45"/>
      <c r="K150" s="37"/>
      <c r="L150" s="37"/>
      <c r="M150" s="37"/>
      <c r="N150" s="37"/>
      <c r="O150" s="37"/>
      <c r="P150" s="37"/>
    </row>
    <row r="151" spans="1:16">
      <c r="A151" s="50" t="s">
        <v>68</v>
      </c>
      <c r="B151" s="51">
        <v>1</v>
      </c>
      <c r="C151" s="51">
        <v>1</v>
      </c>
      <c r="D151" s="51">
        <v>1</v>
      </c>
      <c r="E151" s="37"/>
      <c r="F151" s="37"/>
      <c r="G151" s="37"/>
      <c r="H151" s="51"/>
      <c r="I151" s="51"/>
      <c r="J151" s="51"/>
      <c r="K151" s="37"/>
      <c r="L151" s="37"/>
      <c r="M151" s="37"/>
      <c r="N151" s="37"/>
      <c r="O151" s="37"/>
      <c r="P151" s="37"/>
    </row>
    <row r="152" spans="1:16">
      <c r="A152" s="50" t="s">
        <v>69</v>
      </c>
      <c r="B152" s="51">
        <v>1</v>
      </c>
      <c r="C152" s="51">
        <v>1</v>
      </c>
      <c r="D152" s="51">
        <v>1</v>
      </c>
      <c r="E152" s="37"/>
      <c r="F152" s="37"/>
      <c r="G152" s="37"/>
      <c r="H152" s="51"/>
      <c r="I152" s="51"/>
      <c r="J152" s="51"/>
      <c r="K152" s="37"/>
      <c r="L152" s="37"/>
      <c r="M152" s="37"/>
      <c r="N152" s="37"/>
      <c r="O152" s="37"/>
      <c r="P152" s="37"/>
    </row>
    <row r="153" spans="1:16">
      <c r="A153" s="40" t="s">
        <v>25</v>
      </c>
      <c r="E153" s="37"/>
      <c r="F153" s="37"/>
      <c r="G153" s="37"/>
      <c r="K153" s="37"/>
      <c r="L153" s="37"/>
      <c r="M153" s="37"/>
      <c r="N153" s="37"/>
      <c r="O153" s="37"/>
      <c r="P153" s="37"/>
    </row>
    <row r="154" spans="1:16">
      <c r="A154" s="50" t="s">
        <v>65</v>
      </c>
      <c r="B154" s="45">
        <v>0</v>
      </c>
      <c r="C154" s="45">
        <v>0</v>
      </c>
      <c r="D154" s="45">
        <v>0</v>
      </c>
      <c r="E154" s="37"/>
      <c r="F154" s="37"/>
      <c r="G154" s="37"/>
      <c r="H154" s="45"/>
      <c r="I154" s="45"/>
      <c r="J154" s="45"/>
      <c r="K154" s="37"/>
      <c r="L154" s="37"/>
      <c r="M154" s="37"/>
      <c r="N154" s="37"/>
      <c r="O154" s="37"/>
      <c r="P154" s="37"/>
    </row>
    <row r="155" spans="1:16">
      <c r="A155" s="50" t="s">
        <v>66</v>
      </c>
      <c r="B155" s="51">
        <v>0</v>
      </c>
      <c r="C155" s="51">
        <v>0</v>
      </c>
      <c r="D155" s="51">
        <v>0</v>
      </c>
      <c r="E155" s="37"/>
      <c r="F155" s="37"/>
      <c r="G155" s="37"/>
      <c r="H155" s="51"/>
      <c r="I155" s="51"/>
      <c r="J155" s="51"/>
      <c r="K155" s="37"/>
      <c r="L155" s="37"/>
      <c r="M155" s="37"/>
      <c r="N155" s="37"/>
      <c r="O155" s="37"/>
      <c r="P155" s="37"/>
    </row>
    <row r="156" spans="1:16">
      <c r="A156" s="50" t="s">
        <v>67</v>
      </c>
      <c r="B156" s="45">
        <v>0</v>
      </c>
      <c r="C156" s="45">
        <v>0</v>
      </c>
      <c r="D156" s="45">
        <v>0</v>
      </c>
      <c r="E156" s="37"/>
      <c r="F156" s="37"/>
      <c r="G156" s="37"/>
      <c r="H156" s="45"/>
      <c r="I156" s="45"/>
      <c r="J156" s="45"/>
      <c r="K156" s="37"/>
      <c r="L156" s="37"/>
      <c r="M156" s="37"/>
      <c r="N156" s="37"/>
      <c r="O156" s="37"/>
      <c r="P156" s="37"/>
    </row>
    <row r="157" spans="1:16">
      <c r="A157" s="50" t="s">
        <v>68</v>
      </c>
      <c r="B157" s="51">
        <v>1</v>
      </c>
      <c r="C157" s="51">
        <v>1</v>
      </c>
      <c r="D157" s="51">
        <v>1</v>
      </c>
      <c r="E157" s="37"/>
      <c r="F157" s="37"/>
      <c r="G157" s="37"/>
      <c r="H157" s="51"/>
      <c r="I157" s="51"/>
      <c r="J157" s="51"/>
      <c r="K157" s="37"/>
      <c r="L157" s="37"/>
      <c r="M157" s="37"/>
      <c r="N157" s="37"/>
      <c r="O157" s="37"/>
      <c r="P157" s="37"/>
    </row>
    <row r="158" spans="1:16">
      <c r="A158" s="50" t="s">
        <v>69</v>
      </c>
      <c r="B158" s="51">
        <v>1</v>
      </c>
      <c r="C158" s="51">
        <v>1</v>
      </c>
      <c r="D158" s="51">
        <v>1</v>
      </c>
      <c r="E158" s="37"/>
      <c r="F158" s="37"/>
      <c r="G158" s="37"/>
      <c r="H158" s="51"/>
      <c r="I158" s="51"/>
      <c r="J158" s="51"/>
      <c r="K158" s="37"/>
      <c r="L158" s="37"/>
      <c r="M158" s="37"/>
      <c r="N158" s="37"/>
      <c r="O158" s="37"/>
      <c r="P158" s="37"/>
    </row>
    <row r="159" spans="1:16">
      <c r="A159" s="40" t="s">
        <v>120</v>
      </c>
      <c r="E159" s="37"/>
      <c r="F159" s="37"/>
      <c r="G159" s="37"/>
      <c r="K159" s="37"/>
      <c r="L159" s="37"/>
      <c r="M159" s="37"/>
      <c r="N159" s="37"/>
      <c r="O159" s="37"/>
      <c r="P159" s="37"/>
    </row>
    <row r="160" spans="1:16">
      <c r="A160" s="50" t="s">
        <v>65</v>
      </c>
      <c r="B160" s="45">
        <v>0</v>
      </c>
      <c r="C160" s="45">
        <v>0</v>
      </c>
      <c r="D160" s="45">
        <v>0</v>
      </c>
      <c r="E160" s="37"/>
      <c r="F160" s="37"/>
      <c r="G160" s="37"/>
      <c r="H160" s="45"/>
      <c r="I160" s="45"/>
      <c r="J160" s="45"/>
      <c r="K160" s="37"/>
      <c r="L160" s="37"/>
      <c r="M160" s="37"/>
      <c r="N160" s="37"/>
      <c r="O160" s="37"/>
      <c r="P160" s="37"/>
    </row>
    <row r="161" spans="1:16">
      <c r="A161" s="50" t="s">
        <v>66</v>
      </c>
      <c r="B161" s="51">
        <v>0</v>
      </c>
      <c r="C161" s="51">
        <v>0</v>
      </c>
      <c r="D161" s="51">
        <v>0</v>
      </c>
      <c r="E161" s="37"/>
      <c r="F161" s="37"/>
      <c r="G161" s="37"/>
      <c r="H161" s="51"/>
      <c r="I161" s="51"/>
      <c r="J161" s="51"/>
      <c r="K161" s="37"/>
      <c r="L161" s="37"/>
      <c r="M161" s="37"/>
      <c r="N161" s="37"/>
      <c r="O161" s="37"/>
      <c r="P161" s="37"/>
    </row>
    <row r="162" spans="1:16">
      <c r="A162" s="50" t="s">
        <v>67</v>
      </c>
      <c r="B162" s="45">
        <v>0</v>
      </c>
      <c r="C162" s="45">
        <v>0</v>
      </c>
      <c r="D162" s="45">
        <v>0</v>
      </c>
      <c r="E162" s="37"/>
      <c r="F162" s="37"/>
      <c r="G162" s="37"/>
      <c r="H162" s="45"/>
      <c r="I162" s="45"/>
      <c r="J162" s="45"/>
      <c r="K162" s="37"/>
      <c r="L162" s="37"/>
      <c r="M162" s="37"/>
      <c r="N162" s="37"/>
      <c r="O162" s="37"/>
      <c r="P162" s="37"/>
    </row>
    <row r="163" spans="1:16">
      <c r="A163" s="50" t="s">
        <v>68</v>
      </c>
      <c r="B163" s="51">
        <v>1</v>
      </c>
      <c r="C163" s="51">
        <v>1</v>
      </c>
      <c r="D163" s="51">
        <v>1</v>
      </c>
      <c r="E163" s="37"/>
      <c r="F163" s="37"/>
      <c r="G163" s="37"/>
      <c r="H163" s="51"/>
      <c r="I163" s="51"/>
      <c r="J163" s="51"/>
      <c r="K163" s="37"/>
      <c r="L163" s="37"/>
      <c r="M163" s="37"/>
      <c r="N163" s="37"/>
      <c r="O163" s="37"/>
      <c r="P163" s="37"/>
    </row>
    <row r="164" spans="1:16">
      <c r="A164" s="50" t="s">
        <v>69</v>
      </c>
      <c r="B164" s="51">
        <v>1</v>
      </c>
      <c r="C164" s="51">
        <v>1</v>
      </c>
      <c r="D164" s="51">
        <v>1</v>
      </c>
      <c r="E164" s="37"/>
      <c r="F164" s="37"/>
      <c r="G164" s="37"/>
      <c r="H164" s="51"/>
      <c r="I164" s="51"/>
      <c r="J164" s="51"/>
      <c r="K164" s="37"/>
      <c r="L164" s="37"/>
      <c r="M164" s="37"/>
      <c r="N164" s="37"/>
      <c r="O164" s="37"/>
      <c r="P164" s="37"/>
    </row>
    <row r="165" spans="1:16">
      <c r="A165" s="40" t="s">
        <v>117</v>
      </c>
      <c r="E165" s="37"/>
      <c r="F165" s="37"/>
      <c r="G165" s="37"/>
      <c r="K165" s="37"/>
      <c r="L165" s="37"/>
      <c r="M165" s="37"/>
      <c r="N165" s="37"/>
      <c r="O165" s="37"/>
      <c r="P165" s="37"/>
    </row>
    <row r="166" spans="1:16">
      <c r="A166" s="50" t="s">
        <v>65</v>
      </c>
      <c r="B166" s="45">
        <v>0</v>
      </c>
      <c r="C166" s="45">
        <v>0</v>
      </c>
      <c r="D166" s="45">
        <v>0</v>
      </c>
      <c r="E166" s="37"/>
      <c r="F166" s="37"/>
      <c r="G166" s="37"/>
      <c r="H166" s="45"/>
      <c r="I166" s="45"/>
      <c r="J166" s="45"/>
      <c r="K166" s="37"/>
      <c r="L166" s="37"/>
      <c r="M166" s="37"/>
      <c r="N166" s="37"/>
      <c r="O166" s="37"/>
      <c r="P166" s="37"/>
    </row>
    <row r="167" spans="1:16">
      <c r="A167" s="50" t="s">
        <v>66</v>
      </c>
      <c r="B167" s="51">
        <v>0</v>
      </c>
      <c r="C167" s="51">
        <v>0</v>
      </c>
      <c r="D167" s="51">
        <v>0</v>
      </c>
      <c r="E167" s="37"/>
      <c r="F167" s="37"/>
      <c r="G167" s="37"/>
      <c r="H167" s="51"/>
      <c r="I167" s="51"/>
      <c r="J167" s="51"/>
      <c r="K167" s="37"/>
      <c r="L167" s="37"/>
      <c r="M167" s="37"/>
      <c r="N167" s="37"/>
      <c r="O167" s="37"/>
      <c r="P167" s="37"/>
    </row>
    <row r="168" spans="1:16">
      <c r="A168" s="50" t="s">
        <v>67</v>
      </c>
      <c r="B168" s="45">
        <v>0</v>
      </c>
      <c r="C168" s="45">
        <v>0</v>
      </c>
      <c r="D168" s="45">
        <v>0</v>
      </c>
      <c r="E168" s="37"/>
      <c r="F168" s="37"/>
      <c r="G168" s="37"/>
      <c r="H168" s="45"/>
      <c r="I168" s="45"/>
      <c r="J168" s="45"/>
      <c r="K168" s="37"/>
      <c r="L168" s="37"/>
      <c r="M168" s="37"/>
      <c r="N168" s="37"/>
      <c r="O168" s="37"/>
      <c r="P168" s="37"/>
    </row>
    <row r="169" spans="1:16">
      <c r="A169" s="50" t="s">
        <v>68</v>
      </c>
      <c r="B169" s="51">
        <v>1</v>
      </c>
      <c r="C169" s="51">
        <v>1</v>
      </c>
      <c r="D169" s="51">
        <v>1</v>
      </c>
      <c r="E169" s="37"/>
      <c r="F169" s="37"/>
      <c r="G169" s="37"/>
      <c r="H169" s="51"/>
      <c r="I169" s="51"/>
      <c r="J169" s="51"/>
      <c r="K169" s="37"/>
      <c r="L169" s="37"/>
      <c r="M169" s="37"/>
      <c r="N169" s="37"/>
      <c r="O169" s="37"/>
      <c r="P169" s="37"/>
    </row>
    <row r="170" spans="1:16">
      <c r="A170" s="50" t="s">
        <v>69</v>
      </c>
      <c r="B170" s="51">
        <v>1</v>
      </c>
      <c r="C170" s="51">
        <v>1</v>
      </c>
      <c r="D170" s="51">
        <v>1</v>
      </c>
      <c r="E170" s="37"/>
      <c r="F170" s="37"/>
      <c r="G170" s="37"/>
      <c r="H170" s="51"/>
      <c r="I170" s="51"/>
      <c r="J170" s="51"/>
      <c r="K170" s="37"/>
      <c r="L170" s="37"/>
      <c r="M170" s="37"/>
      <c r="N170" s="37"/>
      <c r="O170" s="37"/>
      <c r="P170" s="37"/>
    </row>
    <row r="171" spans="1:16">
      <c r="A171" s="40" t="s">
        <v>5</v>
      </c>
      <c r="E171" s="37"/>
      <c r="F171" s="37"/>
      <c r="G171" s="37"/>
      <c r="K171" s="37"/>
      <c r="L171" s="37"/>
      <c r="M171" s="37"/>
      <c r="N171" s="37"/>
      <c r="O171" s="37"/>
      <c r="P171" s="37"/>
    </row>
    <row r="172" spans="1:16">
      <c r="A172" s="50" t="s">
        <v>65</v>
      </c>
      <c r="B172" s="45">
        <v>0</v>
      </c>
      <c r="C172" s="45">
        <v>0</v>
      </c>
      <c r="D172" s="45">
        <v>0</v>
      </c>
      <c r="E172" s="37"/>
      <c r="F172" s="37"/>
      <c r="G172" s="37"/>
      <c r="H172" s="45"/>
      <c r="I172" s="45"/>
      <c r="J172" s="45"/>
      <c r="K172" s="37"/>
      <c r="L172" s="37"/>
      <c r="M172" s="37"/>
      <c r="N172" s="37"/>
      <c r="O172" s="37"/>
      <c r="P172" s="37"/>
    </row>
    <row r="173" spans="1:16">
      <c r="A173" s="50" t="s">
        <v>66</v>
      </c>
      <c r="B173" s="51">
        <v>0</v>
      </c>
      <c r="C173" s="51">
        <v>0</v>
      </c>
      <c r="D173" s="51">
        <v>0</v>
      </c>
      <c r="E173" s="37"/>
      <c r="F173" s="37"/>
      <c r="G173" s="37"/>
      <c r="H173" s="51"/>
      <c r="I173" s="51"/>
      <c r="J173" s="51"/>
      <c r="K173" s="37"/>
      <c r="L173" s="37"/>
      <c r="M173" s="37"/>
      <c r="N173" s="37"/>
      <c r="O173" s="37"/>
      <c r="P173" s="37"/>
    </row>
    <row r="174" spans="1:16">
      <c r="A174" s="50" t="s">
        <v>67</v>
      </c>
      <c r="B174" s="45">
        <v>0</v>
      </c>
      <c r="C174" s="45">
        <v>0</v>
      </c>
      <c r="D174" s="45">
        <v>0</v>
      </c>
      <c r="E174" s="37"/>
      <c r="F174" s="37"/>
      <c r="G174" s="37"/>
      <c r="H174" s="45"/>
      <c r="I174" s="45"/>
      <c r="J174" s="45"/>
      <c r="K174" s="37"/>
      <c r="L174" s="37"/>
      <c r="M174" s="37"/>
      <c r="N174" s="37"/>
      <c r="O174" s="37"/>
      <c r="P174" s="37"/>
    </row>
    <row r="175" spans="1:16">
      <c r="A175" s="50" t="s">
        <v>68</v>
      </c>
      <c r="B175" s="51">
        <v>1</v>
      </c>
      <c r="C175" s="51">
        <v>1</v>
      </c>
      <c r="D175" s="51">
        <v>1</v>
      </c>
      <c r="E175" s="37"/>
      <c r="F175" s="37"/>
      <c r="G175" s="37"/>
      <c r="H175" s="51"/>
      <c r="I175" s="51"/>
      <c r="J175" s="51"/>
      <c r="K175" s="37"/>
      <c r="L175" s="37"/>
      <c r="M175" s="37"/>
      <c r="N175" s="37"/>
      <c r="O175" s="37"/>
      <c r="P175" s="37"/>
    </row>
    <row r="176" spans="1:16">
      <c r="A176" s="50" t="s">
        <v>69</v>
      </c>
      <c r="B176" s="51">
        <v>1</v>
      </c>
      <c r="C176" s="51">
        <v>1</v>
      </c>
      <c r="D176" s="51">
        <v>1</v>
      </c>
      <c r="E176" s="37"/>
      <c r="F176" s="37"/>
      <c r="G176" s="37"/>
      <c r="H176" s="51"/>
      <c r="I176" s="51"/>
      <c r="J176" s="51"/>
      <c r="K176" s="37"/>
      <c r="L176" s="37"/>
      <c r="M176" s="37"/>
      <c r="N176" s="37"/>
      <c r="O176" s="37"/>
      <c r="P176" s="37"/>
    </row>
    <row r="177" spans="1:16">
      <c r="A177" s="50"/>
      <c r="B177" s="51"/>
      <c r="C177" s="51"/>
      <c r="D177" s="51"/>
      <c r="E177" s="37"/>
      <c r="F177" s="37"/>
      <c r="G177" s="37"/>
      <c r="H177" s="51"/>
      <c r="I177" s="51"/>
      <c r="J177" s="51"/>
      <c r="K177" s="37"/>
      <c r="L177" s="37"/>
      <c r="M177" s="37"/>
      <c r="N177" s="37"/>
      <c r="O177" s="37"/>
      <c r="P177" s="37"/>
    </row>
    <row r="178" spans="1:16">
      <c r="A178" s="50"/>
      <c r="B178" s="51"/>
      <c r="C178" s="51"/>
      <c r="D178" s="51"/>
      <c r="E178" s="37"/>
      <c r="F178" s="37"/>
      <c r="G178" s="37"/>
      <c r="H178" s="51"/>
      <c r="I178" s="51"/>
      <c r="J178" s="51"/>
      <c r="K178" s="37"/>
      <c r="L178" s="37"/>
      <c r="M178" s="37"/>
      <c r="N178" s="37"/>
      <c r="O178" s="37"/>
      <c r="P178" s="37"/>
    </row>
    <row r="179" spans="1:16">
      <c r="A179" s="50"/>
      <c r="B179" s="51"/>
      <c r="C179" s="51"/>
      <c r="D179" s="51"/>
      <c r="E179" s="37"/>
      <c r="F179" s="37"/>
      <c r="G179" s="37"/>
      <c r="H179" s="51"/>
      <c r="I179" s="51"/>
      <c r="J179" s="51"/>
      <c r="K179" s="37"/>
      <c r="L179" s="37"/>
      <c r="M179" s="37"/>
      <c r="N179" s="37"/>
      <c r="O179" s="37"/>
      <c r="P179" s="37"/>
    </row>
    <row r="180" spans="1:16">
      <c r="A180" s="52"/>
      <c r="B180" s="53"/>
      <c r="C180" s="53"/>
      <c r="D180" s="53"/>
      <c r="E180" s="37"/>
      <c r="F180" s="37"/>
      <c r="G180" s="37"/>
      <c r="H180" s="53"/>
      <c r="I180" s="53"/>
      <c r="J180" s="53"/>
      <c r="K180" s="37"/>
      <c r="L180" s="37"/>
      <c r="M180" s="37"/>
      <c r="N180" s="37"/>
      <c r="O180" s="37"/>
      <c r="P180" s="37"/>
    </row>
    <row r="181" spans="1:16">
      <c r="A181" s="40"/>
      <c r="B181" s="54"/>
      <c r="C181" s="54"/>
      <c r="D181" s="54"/>
      <c r="E181" s="37"/>
      <c r="F181" s="37"/>
      <c r="G181" s="37"/>
      <c r="H181" s="54"/>
      <c r="I181" s="54"/>
      <c r="J181" s="54"/>
      <c r="K181" s="37"/>
      <c r="L181" s="37"/>
      <c r="M181" s="37"/>
      <c r="N181" s="37"/>
      <c r="O181" s="37"/>
      <c r="P181" s="37"/>
    </row>
    <row r="182" spans="1:16">
      <c r="A182" s="40"/>
      <c r="B182" s="37"/>
      <c r="C182" s="37"/>
      <c r="D182" s="37"/>
      <c r="E182" s="37"/>
      <c r="F182" s="37"/>
      <c r="G182" s="37"/>
      <c r="H182" s="37"/>
      <c r="I182" s="37"/>
      <c r="J182" s="37"/>
      <c r="K182" s="37"/>
      <c r="L182" s="37"/>
      <c r="M182" s="37"/>
      <c r="N182" s="37"/>
      <c r="O182" s="37"/>
      <c r="P182" s="37"/>
    </row>
    <row r="183" spans="1:16">
      <c r="A183" s="38" t="s">
        <v>266</v>
      </c>
      <c r="B183" s="45"/>
      <c r="C183" s="45"/>
      <c r="D183" s="45"/>
      <c r="E183" s="37"/>
      <c r="F183" s="37"/>
      <c r="G183" s="37"/>
      <c r="H183" s="37"/>
      <c r="I183" s="45"/>
      <c r="J183" s="45"/>
      <c r="K183" s="37"/>
      <c r="L183" s="37"/>
      <c r="M183" s="37"/>
      <c r="N183" s="37"/>
      <c r="O183" s="37"/>
      <c r="P183" s="37"/>
    </row>
    <row r="184" spans="1:16">
      <c r="A184" s="40" t="s">
        <v>2</v>
      </c>
      <c r="B184" s="45">
        <v>0</v>
      </c>
      <c r="C184" s="45">
        <v>1000</v>
      </c>
      <c r="D184" s="45">
        <v>1000</v>
      </c>
      <c r="E184" s="37"/>
      <c r="F184" s="37"/>
      <c r="G184" s="37"/>
      <c r="H184" s="39"/>
      <c r="I184" s="45"/>
      <c r="J184" s="45"/>
      <c r="K184" s="37"/>
      <c r="L184" s="37"/>
      <c r="M184" s="37"/>
      <c r="N184" s="37"/>
      <c r="O184" s="37"/>
      <c r="P184" s="37"/>
    </row>
    <row r="185" spans="1:16">
      <c r="A185" s="40" t="s">
        <v>31</v>
      </c>
      <c r="B185" s="45">
        <v>0</v>
      </c>
      <c r="C185" s="45">
        <v>1500</v>
      </c>
      <c r="D185" s="45">
        <v>1500</v>
      </c>
      <c r="E185" s="37"/>
      <c r="F185" s="37"/>
      <c r="G185" s="37"/>
      <c r="H185" s="39"/>
      <c r="I185" s="45"/>
      <c r="J185" s="45"/>
      <c r="K185" s="37"/>
      <c r="L185" s="37"/>
      <c r="M185" s="37"/>
      <c r="N185" s="37"/>
      <c r="O185" s="37"/>
      <c r="P185" s="37"/>
    </row>
    <row r="186" spans="1:16">
      <c r="A186" s="40" t="s">
        <v>26</v>
      </c>
      <c r="B186" s="45">
        <v>0</v>
      </c>
      <c r="C186" s="45">
        <v>1500</v>
      </c>
      <c r="D186" s="45">
        <v>1500</v>
      </c>
      <c r="E186" s="37"/>
      <c r="F186" s="37"/>
      <c r="G186" s="37"/>
      <c r="H186" s="39"/>
      <c r="I186" s="45"/>
      <c r="J186" s="45"/>
      <c r="K186" s="37"/>
      <c r="L186" s="37"/>
      <c r="M186" s="37"/>
      <c r="N186" s="37"/>
      <c r="O186" s="37"/>
      <c r="P186" s="37"/>
    </row>
    <row r="187" spans="1:16">
      <c r="A187" s="40" t="s">
        <v>19</v>
      </c>
      <c r="B187" s="45">
        <v>0</v>
      </c>
      <c r="C187" s="45">
        <v>1500</v>
      </c>
      <c r="D187" s="45">
        <v>1500</v>
      </c>
      <c r="E187" s="37"/>
      <c r="F187" s="37"/>
      <c r="G187" s="37"/>
      <c r="H187" s="39"/>
      <c r="I187" s="45"/>
      <c r="J187" s="45"/>
      <c r="K187" s="37"/>
      <c r="L187" s="37"/>
      <c r="M187" s="37"/>
      <c r="N187" s="37"/>
      <c r="O187" s="37"/>
      <c r="P187" s="37"/>
    </row>
    <row r="188" spans="1:16">
      <c r="A188" s="40" t="s">
        <v>24</v>
      </c>
      <c r="B188" s="45">
        <v>0</v>
      </c>
      <c r="C188" s="45">
        <v>1500</v>
      </c>
      <c r="D188" s="45">
        <v>1500</v>
      </c>
      <c r="E188" s="37"/>
      <c r="F188" s="37"/>
      <c r="G188" s="37"/>
      <c r="H188" s="39"/>
      <c r="I188" s="45"/>
      <c r="J188" s="45"/>
      <c r="K188" s="37"/>
      <c r="L188" s="37"/>
      <c r="M188" s="37"/>
      <c r="N188" s="37"/>
      <c r="O188" s="37"/>
      <c r="P188" s="37"/>
    </row>
    <row r="189" spans="1:16">
      <c r="A189" s="40" t="s">
        <v>23</v>
      </c>
      <c r="B189" s="45">
        <v>0</v>
      </c>
      <c r="C189" s="45">
        <v>1500</v>
      </c>
      <c r="D189" s="45">
        <v>1500</v>
      </c>
      <c r="E189" s="37"/>
      <c r="F189" s="37"/>
      <c r="G189" s="37"/>
      <c r="H189" s="39"/>
      <c r="I189" s="45"/>
      <c r="J189" s="45"/>
      <c r="K189" s="37"/>
      <c r="L189" s="37"/>
      <c r="M189" s="37"/>
      <c r="N189" s="37"/>
      <c r="O189" s="37"/>
      <c r="P189" s="37"/>
    </row>
    <row r="190" spans="1:16">
      <c r="A190" s="40"/>
      <c r="B190" s="45"/>
      <c r="C190" s="45"/>
      <c r="D190" s="45"/>
      <c r="E190" s="37"/>
      <c r="F190" s="37"/>
      <c r="G190" s="37"/>
      <c r="H190" s="39"/>
      <c r="I190" s="45"/>
      <c r="J190" s="45"/>
      <c r="K190" s="37"/>
      <c r="L190" s="37"/>
      <c r="M190" s="37"/>
      <c r="N190" s="37"/>
      <c r="O190" s="37"/>
      <c r="P190" s="37"/>
    </row>
    <row r="191" spans="1:16">
      <c r="E191" s="37"/>
      <c r="F191" s="37"/>
      <c r="G191" s="37"/>
      <c r="K191" s="37"/>
      <c r="L191" s="37"/>
      <c r="M191" s="37"/>
      <c r="N191" s="37"/>
      <c r="O191" s="37"/>
      <c r="P191" s="37"/>
    </row>
    <row r="192" spans="1:16">
      <c r="A192" s="38" t="s">
        <v>75</v>
      </c>
      <c r="B192" s="38"/>
      <c r="C192" s="38"/>
      <c r="D192" s="38"/>
      <c r="H192" s="38"/>
      <c r="I192" s="38"/>
      <c r="J192" s="38"/>
    </row>
    <row r="193" spans="1:10">
      <c r="A193" s="40" t="s">
        <v>2</v>
      </c>
      <c r="B193" s="55">
        <v>122</v>
      </c>
      <c r="C193" s="55">
        <v>77</v>
      </c>
      <c r="D193" s="55"/>
      <c r="E193" s="179"/>
      <c r="F193" s="179"/>
      <c r="H193" s="55"/>
      <c r="I193" s="55"/>
      <c r="J193" s="55"/>
    </row>
    <row r="194" spans="1:10">
      <c r="A194" s="40" t="s">
        <v>31</v>
      </c>
      <c r="B194" s="55">
        <v>459</v>
      </c>
      <c r="C194" s="55">
        <v>311</v>
      </c>
      <c r="D194" s="55"/>
      <c r="H194" s="55"/>
      <c r="I194" s="55"/>
      <c r="J194" s="55"/>
    </row>
    <row r="195" spans="1:10">
      <c r="A195" s="40" t="s">
        <v>26</v>
      </c>
      <c r="B195" s="55">
        <v>380</v>
      </c>
      <c r="C195" s="55">
        <v>257</v>
      </c>
      <c r="D195" s="55"/>
    </row>
    <row r="196" spans="1:10">
      <c r="A196" s="40" t="s">
        <v>19</v>
      </c>
      <c r="B196" s="55">
        <v>380</v>
      </c>
      <c r="C196" s="55">
        <v>257</v>
      </c>
      <c r="D196" s="55"/>
    </row>
    <row r="197" spans="1:10">
      <c r="A197" s="40" t="s">
        <v>24</v>
      </c>
      <c r="B197" s="55">
        <v>715</v>
      </c>
      <c r="C197" s="55">
        <v>487</v>
      </c>
      <c r="D197" s="55"/>
    </row>
    <row r="198" spans="1:10">
      <c r="A198" s="40" t="s">
        <v>23</v>
      </c>
      <c r="B198" s="55">
        <v>715</v>
      </c>
      <c r="C198" s="55">
        <v>487</v>
      </c>
      <c r="D198" s="55"/>
    </row>
    <row r="200" spans="1:10">
      <c r="A200" s="38" t="s">
        <v>131</v>
      </c>
    </row>
    <row r="201" spans="1:10">
      <c r="A201" s="40" t="str">
        <f>"This tool illustrates your projected out-of-pocket cost for each "&amp;B5&amp;" medical/pharmacy plan. "</f>
        <v xml:space="preserve">This tool illustrates your projected out-of-pocket cost for each Green Diamond Resource Company medical/pharmacy plan. </v>
      </c>
    </row>
    <row r="202" spans="1:10">
      <c r="A202" s="40" t="s">
        <v>245</v>
      </c>
    </row>
    <row r="203" spans="1:10">
      <c r="A203" s="40" t="str">
        <f>CONCATENATE(A201,A202)</f>
        <v xml:space="preserve">This tool illustrates your projected out-of-pocket cost for each Green Diamond Resource Company medical/pharmacy plan. 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v>
      </c>
    </row>
    <row r="205" spans="1:10">
      <c r="A205" s="176" t="str">
        <f>"Question #7: If you are considering the "&amp;C40&amp;", enter the annual health savings account (HSA) contribution you plan to make (not including the amount your employer will deposit in your HSA). "</f>
        <v xml:space="preserve">Question #7: If you are considering the HSP Plan, enter the annual health savings account (HSA) contribution you plan to make (not including the amount your employer will deposit in your HSA). </v>
      </c>
    </row>
    <row r="206" spans="1:10">
      <c r="A206" s="176" t="s">
        <v>171</v>
      </c>
    </row>
    <row r="207" spans="1:10">
      <c r="A207" s="176" t="str">
        <f>CONCATENATE(A205,A206)</f>
        <v xml:space="preserve">Question #7: If you are considering the HSP Plan, enter the annual health savings account (HSA) contribution you plan to make (not including the amount your employer will deposit in your HSA).  This answer does not impact the out-of-pocket estimate, but is used on the "Tax Savings" tab. </v>
      </c>
    </row>
  </sheetData>
  <pageMargins left="0.75" right="0.75" top="1" bottom="1" header="0.5" footer="0.5"/>
  <pageSetup scale="74"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F72"/>
  <sheetViews>
    <sheetView showGridLines="0" zoomScale="70" zoomScaleNormal="70" zoomScaleSheetLayoutView="86" workbookViewId="0">
      <selection activeCell="G19" sqref="G19"/>
    </sheetView>
  </sheetViews>
  <sheetFormatPr defaultRowHeight="12.75" outlineLevelRow="2"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42578125" customWidth="1" outlineLevel="1"/>
    <col min="15" max="20" width="11" customWidth="1" outlineLevel="1"/>
    <col min="21" max="21" width="2.5703125" customWidth="1" outlineLevel="1"/>
    <col min="22" max="31" width="11" customWidth="1" outlineLevel="1"/>
    <col min="32" max="32" width="9.140625" customWidth="1"/>
  </cols>
  <sheetData>
    <row r="1" spans="1:32" s="37" customFormat="1" ht="26.25">
      <c r="A1" s="56" t="str">
        <f>Asmpt!$B5&amp;" Medical Plans"</f>
        <v>Green Diamond Resource Company Medical Plans</v>
      </c>
      <c r="B1" s="56"/>
      <c r="C1" s="57"/>
      <c r="D1" s="58"/>
      <c r="E1" s="56"/>
      <c r="F1" s="56"/>
      <c r="G1" s="56"/>
      <c r="H1" s="56"/>
      <c r="I1" s="56"/>
      <c r="J1" s="56"/>
      <c r="K1" s="56"/>
      <c r="L1" s="56"/>
      <c r="M1" s="56"/>
      <c r="N1" s="56" t="str">
        <f>Asmpt!$B5&amp;" Medical Plans"</f>
        <v>Green Diamond Resource Company Medical Plans</v>
      </c>
      <c r="O1" s="56"/>
      <c r="P1" s="56"/>
      <c r="Q1" s="56"/>
      <c r="R1" s="56"/>
      <c r="S1" s="56"/>
      <c r="T1" s="56"/>
      <c r="U1" s="56"/>
      <c r="V1" s="56"/>
      <c r="W1" s="56"/>
      <c r="X1" s="56"/>
      <c r="Y1" s="56"/>
      <c r="Z1" s="56"/>
      <c r="AA1" s="56"/>
      <c r="AB1" s="56"/>
      <c r="AC1" s="56"/>
      <c r="AD1" s="56"/>
      <c r="AE1" s="59"/>
    </row>
    <row r="2" spans="1:32" s="37" customFormat="1" ht="21">
      <c r="A2" s="60" t="str">
        <f>"Detailed Out-of-Pocket Cost Examples for "&amp;Asmpt!B40</f>
        <v>Detailed Out-of-Pocket Cost Examples for PPO Plan</v>
      </c>
      <c r="B2" s="60"/>
      <c r="C2" s="44"/>
      <c r="D2" s="44"/>
      <c r="E2" s="60"/>
      <c r="F2" s="44"/>
      <c r="G2" s="44"/>
      <c r="H2" s="44"/>
      <c r="I2" s="44"/>
      <c r="J2" s="44"/>
      <c r="K2" s="44"/>
      <c r="L2" s="44"/>
      <c r="M2" s="44"/>
      <c r="N2" s="60" t="str">
        <f>$A2</f>
        <v>Detailed Out-of-Pocket Cost Examples for PPO Plan</v>
      </c>
      <c r="Q2" s="60"/>
    </row>
    <row r="3" spans="1:32" s="44" customFormat="1" ht="21">
      <c r="A3" s="60"/>
      <c r="B3" s="60"/>
    </row>
    <row r="4" spans="1:32" s="64" customFormat="1" ht="20.100000000000001" customHeight="1">
      <c r="A4" s="62"/>
      <c r="B4" s="62"/>
      <c r="C4" s="63"/>
      <c r="E4" s="61" t="s">
        <v>76</v>
      </c>
      <c r="F4" s="62"/>
      <c r="G4" s="62"/>
      <c r="H4" s="62"/>
      <c r="I4" s="62"/>
      <c r="J4" s="62"/>
      <c r="K4" s="62"/>
      <c r="L4" s="62"/>
      <c r="N4" s="65"/>
      <c r="O4" s="68" t="str">
        <f>Asmpt!$B$43&amp;" — "&amp;A6</f>
        <v>PPO — Employee Only</v>
      </c>
      <c r="P4" s="68"/>
      <c r="Q4" s="68"/>
      <c r="R4" s="68"/>
      <c r="S4" s="68"/>
      <c r="T4" s="68"/>
      <c r="U4" s="68"/>
      <c r="V4" s="68"/>
      <c r="W4" s="68"/>
      <c r="X4" s="68"/>
      <c r="Y4" s="68"/>
      <c r="Z4" s="68"/>
      <c r="AA4" s="68"/>
      <c r="AB4" s="68"/>
      <c r="AC4" s="68"/>
      <c r="AD4" s="68"/>
      <c r="AE4" s="68"/>
      <c r="AF4" s="65"/>
    </row>
    <row r="5" spans="1:32" s="66" customFormat="1" ht="10.15" customHeight="1">
      <c r="E5" s="67"/>
    </row>
    <row r="6" spans="1:32" s="71" customFormat="1" ht="20.25" customHeight="1">
      <c r="A6" s="70" t="str">
        <f>B72</f>
        <v>Employee Only</v>
      </c>
      <c r="B6" s="70"/>
      <c r="C6" s="70"/>
      <c r="D6" s="69"/>
      <c r="E6" s="70" t="s">
        <v>77</v>
      </c>
      <c r="F6" s="70"/>
      <c r="G6" s="69"/>
      <c r="H6" s="70" t="s">
        <v>78</v>
      </c>
      <c r="I6" s="70"/>
      <c r="J6" s="69"/>
      <c r="K6" s="70" t="s">
        <v>79</v>
      </c>
      <c r="L6" s="70"/>
      <c r="M6" s="69"/>
      <c r="N6" s="69"/>
      <c r="V6" s="121" t="s">
        <v>77</v>
      </c>
      <c r="W6" s="122"/>
      <c r="X6" s="123"/>
      <c r="Y6" s="121" t="s">
        <v>78</v>
      </c>
      <c r="Z6" s="122"/>
      <c r="AA6" s="123"/>
      <c r="AB6" s="121" t="s">
        <v>79</v>
      </c>
      <c r="AC6" s="122"/>
      <c r="AD6" s="123"/>
    </row>
    <row r="7" spans="1:32" s="75" customFormat="1" ht="10.15" customHeight="1">
      <c r="A7" s="72"/>
      <c r="B7" s="72"/>
      <c r="C7" s="72"/>
      <c r="D7" s="66"/>
      <c r="E7" s="66"/>
      <c r="F7" s="66"/>
      <c r="G7" s="66"/>
      <c r="H7" s="66"/>
      <c r="I7" s="66"/>
      <c r="J7" s="66"/>
      <c r="K7" s="66"/>
      <c r="L7" s="66"/>
      <c r="M7" s="66"/>
      <c r="N7" s="66"/>
      <c r="O7" s="66"/>
      <c r="P7" s="66"/>
      <c r="Q7" s="66"/>
      <c r="R7" s="66"/>
      <c r="S7" s="66"/>
      <c r="T7" s="66"/>
      <c r="U7" s="66"/>
      <c r="V7" s="73"/>
      <c r="W7" s="73"/>
      <c r="X7" s="73"/>
      <c r="Y7" s="73"/>
      <c r="Z7" s="73"/>
      <c r="AA7" s="73"/>
      <c r="AB7" s="73"/>
      <c r="AC7" s="73"/>
      <c r="AD7" s="73"/>
      <c r="AE7" s="74"/>
    </row>
    <row r="8" spans="1:32" s="75" customFormat="1" ht="17.100000000000001" customHeight="1">
      <c r="A8" s="76" t="s">
        <v>80</v>
      </c>
      <c r="B8" s="77" t="s">
        <v>81</v>
      </c>
      <c r="C8" s="78" t="s">
        <v>82</v>
      </c>
      <c r="D8" s="66"/>
      <c r="E8" s="77" t="s">
        <v>81</v>
      </c>
      <c r="F8" s="77" t="s">
        <v>83</v>
      </c>
      <c r="G8" s="79"/>
      <c r="H8" s="77" t="s">
        <v>81</v>
      </c>
      <c r="I8" s="77" t="s">
        <v>83</v>
      </c>
      <c r="J8" s="79"/>
      <c r="K8" s="77" t="s">
        <v>81</v>
      </c>
      <c r="L8" s="77" t="s">
        <v>83</v>
      </c>
      <c r="M8" s="66"/>
      <c r="N8" s="76" t="s">
        <v>106</v>
      </c>
      <c r="O8" s="77" t="s">
        <v>65</v>
      </c>
      <c r="P8" s="77" t="s">
        <v>84</v>
      </c>
      <c r="Q8" s="80" t="s">
        <v>91</v>
      </c>
      <c r="R8" s="81" t="s">
        <v>85</v>
      </c>
      <c r="S8" s="81" t="s">
        <v>86</v>
      </c>
      <c r="T8" s="81" t="s">
        <v>92</v>
      </c>
      <c r="U8" s="82"/>
      <c r="V8" s="83" t="s">
        <v>87</v>
      </c>
      <c r="W8" s="83" t="s">
        <v>88</v>
      </c>
      <c r="X8" s="83" t="s">
        <v>89</v>
      </c>
      <c r="Y8" s="82" t="s">
        <v>87</v>
      </c>
      <c r="Z8" s="82" t="s">
        <v>88</v>
      </c>
      <c r="AA8" s="82" t="s">
        <v>89</v>
      </c>
      <c r="AB8" s="83" t="s">
        <v>87</v>
      </c>
      <c r="AC8" s="83" t="s">
        <v>88</v>
      </c>
      <c r="AD8" s="83" t="s">
        <v>89</v>
      </c>
      <c r="AE8" s="84" t="s">
        <v>90</v>
      </c>
    </row>
    <row r="9" spans="1:32" s="85" customFormat="1" ht="17.100000000000001" customHeight="1">
      <c r="T9" s="86">
        <v>0</v>
      </c>
      <c r="U9" s="87"/>
      <c r="V9" s="88">
        <v>0</v>
      </c>
      <c r="W9" s="88">
        <v>0</v>
      </c>
      <c r="X9" s="88">
        <v>0</v>
      </c>
      <c r="Y9" s="88">
        <v>0</v>
      </c>
      <c r="Z9" s="88">
        <v>0</v>
      </c>
      <c r="AA9" s="88">
        <v>0</v>
      </c>
      <c r="AB9" s="88">
        <v>0</v>
      </c>
      <c r="AC9" s="88">
        <v>0</v>
      </c>
      <c r="AD9" s="87">
        <v>0</v>
      </c>
      <c r="AE9" s="87"/>
    </row>
    <row r="10" spans="1:32" s="66" customFormat="1" ht="17.100000000000001" customHeight="1">
      <c r="A10" s="92" t="s">
        <v>43</v>
      </c>
      <c r="B10" s="90">
        <v>0</v>
      </c>
      <c r="C10" s="91">
        <f>B10*Asmpt!$B$18</f>
        <v>0</v>
      </c>
      <c r="E10" s="90">
        <f>ROUND(E$72*B10,0)</f>
        <v>0</v>
      </c>
      <c r="F10" s="91">
        <f t="shared" ref="F10:F29" si="0">IF($B10=0,0,$C10/$B10*E10)</f>
        <v>0</v>
      </c>
      <c r="G10" s="92"/>
      <c r="H10" s="90">
        <f>IF(E$71&lt;4,B10-E10,ROUND(H$72*B10,0))</f>
        <v>0</v>
      </c>
      <c r="I10" s="91">
        <f t="shared" ref="I10:I29" si="1">IF($B10=0,0,$C10/$B10*H10)</f>
        <v>0</v>
      </c>
      <c r="J10" s="92"/>
      <c r="K10" s="93">
        <f t="shared" ref="K10:K29" si="2">B10-E10-H10</f>
        <v>0</v>
      </c>
      <c r="L10" s="91">
        <f t="shared" ref="L10:L29" si="3">IF($B10=0,0,$C10/$B10*K10)</f>
        <v>0</v>
      </c>
      <c r="N10" s="66" t="str">
        <f t="shared" ref="N10:N29" si="4">A10</f>
        <v>Office Visits - Preventive</v>
      </c>
      <c r="O10" s="94">
        <f>Asmpt!$B$58</f>
        <v>0</v>
      </c>
      <c r="P10" s="95">
        <f>Asmpt!$B$59</f>
        <v>0</v>
      </c>
      <c r="Q10" s="94">
        <f>Asmpt!$B$60</f>
        <v>0</v>
      </c>
      <c r="R10" s="95">
        <f>Asmpt!$B$61</f>
        <v>0</v>
      </c>
      <c r="S10" s="96">
        <f>IF(Asmpt!$B$62=0,0,Asmpt!$B$46)</f>
        <v>0</v>
      </c>
      <c r="T10" s="89">
        <f>Asmpt!$B$51</f>
        <v>1</v>
      </c>
      <c r="U10" s="93"/>
      <c r="V10" s="97">
        <f>IF(E10=0,0,
MIN(
$O10*MAX(E10-CEILING($Q10+$P10*MIN($O$32-SUM(W$9:W9),$P$32-SUM(W$9:W9,$U$35:U$35))/(F10/E10),1),0),
MAX(0,$O$33-SUMPRODUCT($T$9:$T9,V$9:V9)-SUM(W$9:X9)),
MAX(0,$P$33-SUM($U$33:U$33)-SUMPRODUCT($T$9:$T9,V$9:V9)-SUM(W$9:X9))
)
)</f>
        <v>0</v>
      </c>
      <c r="W10" s="97">
        <f>MIN(
$R10*MAX(F10-V10-MIN(F10,$Q10),0),
MAX(0,$O$32-SUM(W$9:W9)),
MAX(0,$P$32-SUM($U$35:U$35)-SUM(W$9:W9)),
MAX(0,$O$33-SUMPRODUCT($T$9:$T10,V$9:V10)-SUM(W$9:X9)),
MAX(0,$P$33-SUM($U$33:U$33)-SUMPRODUCT($T$9:$T10,V$9:V10)-SUM(W$9:X9))
)</f>
        <v>0</v>
      </c>
      <c r="X10" s="97">
        <f>MIN(
$S10*MAX(F10-$Q10-V10-W10,0),
MAX(0,$O$33-SUMPRODUCT($T$9:$T10,V$9:V10)-SUM(W$9:W10)-SUM(X$9:X9)),
MAX(0,$P$33-SUM($U$33:U$33)-SUMPRODUCT($T$9:$T10,V$9:V10)-SUM(W$9:W10)-SUM(X$9:X9))
)</f>
        <v>0</v>
      </c>
      <c r="Y10" s="97">
        <f>IF(H10=0,0,
MIN(
$O10*MAX(H10-CEILING($Q10+$P10*MIN($O$32-SUM(Z$9:Z9),$P$32-SUM(Z$9:Z9,$U$35:X$35))/(I10/H10),1),0),
MAX(0,$O$33-SUMPRODUCT($T$9:$T9,Y$9:Y9)-SUM(Z$9:AA9)),
MAX(0,$P$33-SUM($U$33:X$33)-SUMPRODUCT($T$9:$T9,Y$9:Y9)-SUM(Z$9:AA9))
)
)</f>
        <v>0</v>
      </c>
      <c r="Z10" s="97">
        <f>MIN(
$R10*MAX(I10-Y10-MIN(I10,$Q10),0),
MAX(0,$O$32-SUM(Z$9:Z9)),
MAX(0,$P$32-SUM($U$35:X$35)-SUM(Z$9:Z9)),
MAX(0,$O$33-SUMPRODUCT($T$9:$T10,Y$9:Y10)-SUM(Z$9:AA9)),
MAX(0,$P$33-SUM($U$33:X$33)-SUMPRODUCT($T$9:$T10,Y$9:Y10)-SUM(Z$9:AA9))
)</f>
        <v>0</v>
      </c>
      <c r="AA10" s="97">
        <f>MIN(
$S10*MAX(I10-$Q10-Y10-Z10,0),
MAX(0,$O$33-SUMPRODUCT($T$9:$T10,Y$9:Y10)-SUM(Z$9:Z10)-SUM(AA$9:AA9)),
MAX(0,$P$33-SUM($U$33:X$33)-SUMPRODUCT($T$9:$T10,Y$9:Y10)-SUM(Z$9:Z10)-SUM(AA$9:AA9))
)</f>
        <v>0</v>
      </c>
      <c r="AB10" s="97">
        <f>IF(K10=0,0,
MIN(
$O10*MAX(K10-CEILING($Q10+$P10*MIN($O$32-SUM(AC$9:AC9),$P$32-SUM(AC$9:AC9,$U$35:AA$35))/(L10/K10),1),0),
MAX(0,$O$33-SUMPRODUCT($T$9:$T9,AB$9:AB9)-SUM(AC$9:AD9)),
MAX(0,$P$33-SUM($U$33:AA$33)-SUMPRODUCT($T$9:$T9,AB$9:AB9)-SUM(AC$9:AD9))
)
)</f>
        <v>0</v>
      </c>
      <c r="AC10" s="97">
        <f>MIN(
$R10*MAX(L10-AB10-MIN(L10,$Q10),0),
MAX(0,$O$32-SUM(AC$9:AC9)),
MAX(0,$P$32-SUM($U$35:AA$35)-SUM(AC$9:AC9)),
MAX(0,$O$33-SUMPRODUCT($T$9:$T10,AB$9:AB10)-SUM(AC$9:AD9)),
MAX(0,$P$33-SUM($U$33:AA$33)-SUMPRODUCT($T$9:$T10,AB$9:AB10)-SUM(AC$9:AD9))
)</f>
        <v>0</v>
      </c>
      <c r="AD10" s="97">
        <f>MIN(
$S10*MAX(L10-$Q10-AB10-AC10,0),
MAX(0,$O$33-SUMPRODUCT($T$9:$T10,AB$9:AB10)-SUM(AC$9:AC10)-SUM(AD$9:AD9)),
MAX(0,$P$33-SUM($U$33:AA$33)-SUMPRODUCT($T$9:$T10,AB$9:AB10)-SUM(AC$9:AC10)-SUM(AD$9:AD9))
)</f>
        <v>0</v>
      </c>
      <c r="AE10" s="97">
        <f>C10-SUM(V10:AD10)</f>
        <v>0</v>
      </c>
    </row>
    <row r="11" spans="1:32" s="66" customFormat="1" ht="17.100000000000001" customHeight="1">
      <c r="A11" s="92" t="s">
        <v>110</v>
      </c>
      <c r="B11" s="90">
        <f>'Cost Estimator'!D16</f>
        <v>0</v>
      </c>
      <c r="C11" s="91">
        <f>B11*Asmpt!$B19</f>
        <v>0</v>
      </c>
      <c r="E11" s="90">
        <f>ROUND(E$72*B11,0)</f>
        <v>0</v>
      </c>
      <c r="F11" s="91">
        <f t="shared" si="0"/>
        <v>0</v>
      </c>
      <c r="G11" s="92"/>
      <c r="H11" s="90">
        <f>IF(E$71&lt;4,B11-E11,ROUND(H$72*B11,0))</f>
        <v>0</v>
      </c>
      <c r="I11" s="91">
        <f t="shared" si="1"/>
        <v>0</v>
      </c>
      <c r="J11" s="92"/>
      <c r="K11" s="93">
        <f t="shared" si="2"/>
        <v>0</v>
      </c>
      <c r="L11" s="91">
        <f t="shared" si="3"/>
        <v>0</v>
      </c>
      <c r="N11" s="66" t="str">
        <f t="shared" si="4"/>
        <v>Primary Care Office Visits</v>
      </c>
      <c r="O11" s="94">
        <f>Asmpt!$B$64</f>
        <v>25</v>
      </c>
      <c r="P11" s="95">
        <f>Asmpt!$B$65</f>
        <v>0</v>
      </c>
      <c r="Q11" s="94">
        <f>Asmpt!$B$66</f>
        <v>0</v>
      </c>
      <c r="R11" s="95">
        <f>Asmpt!$B$67</f>
        <v>0</v>
      </c>
      <c r="S11" s="96">
        <f>IF(Asmpt!$B$68=0,0,Asmpt!$B$46)</f>
        <v>0</v>
      </c>
      <c r="T11" s="89">
        <f>Asmpt!$B$51</f>
        <v>1</v>
      </c>
      <c r="U11" s="93"/>
      <c r="V11" s="97">
        <f>IF(E11=0,0,
MIN(
$O11*MAX(E11-CEILING($Q11+$P11*MIN($O$32-SUM(W$9:W10),$P$32-SUM(W$9:W10,$U$35:U$35))/(F11/E11),1),0),
MAX(0,$O$33-SUMPRODUCT($T$9:$T10,V$9:V10)-SUM(W$9:X10)),
MAX(0,$P$33-SUM($U$33:U$33)-SUMPRODUCT($T$9:$T10,V$9:V10)-SUM(W$9:X10))
)
)</f>
        <v>0</v>
      </c>
      <c r="W11" s="97">
        <f>MIN(
$R11*MAX(F11-V11-MIN(F11,$Q11),0),
MAX(0,$O$32-SUM(W$9:W10)),
MAX(0,$P$32-SUM($U$35:U$35)-SUM(W$9:W10)),
MAX(0,$O$33-SUMPRODUCT($T$9:$T11,V$9:V11)-SUM(W$9:X10)),
MAX(0,$P$33-SUM($U$33:U$33)-SUMPRODUCT($T$9:$T11,V$9:V11)-SUM(W$9:X10))
)</f>
        <v>0</v>
      </c>
      <c r="X11" s="97">
        <f>MIN(
$S11*MAX(F11-$Q11-V11-W11,0),
MAX(0,$O$33-SUMPRODUCT($T$9:$T11,V$9:V11)-SUM(W$9:W11)-SUM(X$9:X10)),
MAX(0,$P$33-SUM($U$33:U$33)-SUMPRODUCT($T$9:$T11,V$9:V11)-SUM(W$9:W11)-SUM(X$9:X10))
)</f>
        <v>0</v>
      </c>
      <c r="Y11" s="97">
        <f>IF(H11=0,0,
MIN(
$O11*MAX(H11-CEILING($Q11+$P11*MIN($O$32-SUM(Z$9:Z10),$P$32-SUM(Z$9:Z10,$U$35:X$35))/(I11/H11),1),0),
MAX(0,$O$33-SUMPRODUCT($T$9:$T10,Y$9:Y10)-SUM(Z$9:AA10)),
MAX(0,$P$33-SUM($U$33:X$33)-SUMPRODUCT($T$9:$T10,Y$9:Y10)-SUM(Z$9:AA10))
)
)</f>
        <v>0</v>
      </c>
      <c r="Z11" s="97">
        <f>MIN(
$R11*MAX(I11-Y11-MIN(I11,$Q11),0),
MAX(0,$O$32-SUM(Z$9:Z10)),
MAX(0,$P$32-SUM($U$35:X$35)-SUM(Z$9:Z10)),
MAX(0,$O$33-SUMPRODUCT($T$9:$T11,Y$9:Y11)-SUM(Z$9:AA10)),
MAX(0,$P$33-SUM($U$33:X$33)-SUMPRODUCT($T$9:$T11,Y$9:Y11)-SUM(Z$9:AA10))
)</f>
        <v>0</v>
      </c>
      <c r="AA11" s="97">
        <f>MIN(
$S11*MAX(I11-$Q11-Y11-Z11,0),
MAX(0,$O$33-SUMPRODUCT($T$9:$T11,Y$9:Y11)-SUM(Z$9:Z11)-SUM(AA$9:AA10)),
MAX(0,$P$33-SUM($U$33:X$33)-SUMPRODUCT($T$9:$T11,Y$9:Y11)-SUM(Z$9:Z11)-SUM(AA$9:AA10))
)</f>
        <v>0</v>
      </c>
      <c r="AB11" s="97">
        <f>IF(K11=0,0,
MIN(
$O11*MAX(K11-CEILING($Q11+$P11*MIN($O$32-SUM(AC$9:AC10),$P$32-SUM(AC$9:AC10,$U$35:AA$35))/(L11/K11),1),0),
MAX(0,$O$33-SUMPRODUCT($T$9:$T10,AB$9:AB10)-SUM(AC$9:AD10)),
MAX(0,$P$33-SUM($U$33:AA$33)-SUMPRODUCT($T$9:$T10,AB$9:AB10)-SUM(AC$9:AD10))
)
)</f>
        <v>0</v>
      </c>
      <c r="AC11" s="97">
        <f>MIN(
$R11*MAX(L11-AB11-MIN(L11,$Q11),0),
MAX(0,$O$32-SUM(AC$9:AC10)),
MAX(0,$P$32-SUM($U$35:AA$35)-SUM(AC$9:AC10)),
MAX(0,$O$33-SUMPRODUCT($T$9:$T11,AB$9:AB11)-SUM(AC$9:AD10)),
MAX(0,$P$33-SUM($U$33:AA$33)-SUMPRODUCT($T$9:$T11,AB$9:AB11)-SUM(AC$9:AD10))
)</f>
        <v>0</v>
      </c>
      <c r="AD11" s="97">
        <f>MIN(
$S11*MAX(L11-$Q11-AB11-AC11,0),
MAX(0,$O$33-SUMPRODUCT($T$9:$T11,AB$9:AB11)-SUM(AC$9:AC11)-SUM(AD$9:AD10)),
MAX(0,$P$33-SUM($U$33:AA$33)-SUMPRODUCT($T$9:$T11,AB$9:AB11)-SUM(AC$9:AC11)-SUM(AD$9:AD10))
)</f>
        <v>0</v>
      </c>
      <c r="AE11" s="97">
        <f>C11-SUM(V11:AD11)</f>
        <v>0</v>
      </c>
    </row>
    <row r="12" spans="1:32" s="66" customFormat="1" ht="17.100000000000001" customHeight="1">
      <c r="A12" s="92" t="s">
        <v>234</v>
      </c>
      <c r="B12" s="90">
        <f>'Cost Estimator'!E16</f>
        <v>0</v>
      </c>
      <c r="C12" s="91">
        <f>B12*Asmpt!$B20</f>
        <v>0</v>
      </c>
      <c r="E12" s="90">
        <f>ROUND(E$72*B12,0)</f>
        <v>0</v>
      </c>
      <c r="F12" s="91">
        <f t="shared" si="0"/>
        <v>0</v>
      </c>
      <c r="G12" s="92"/>
      <c r="H12" s="90">
        <f>IF(E$71&lt;4,B12-E12,ROUND(H$72*B12,0))</f>
        <v>0</v>
      </c>
      <c r="I12" s="91">
        <f t="shared" si="1"/>
        <v>0</v>
      </c>
      <c r="J12" s="92"/>
      <c r="K12" s="93">
        <f t="shared" si="2"/>
        <v>0</v>
      </c>
      <c r="L12" s="91">
        <f t="shared" si="3"/>
        <v>0</v>
      </c>
      <c r="N12" s="66" t="str">
        <f t="shared" si="4"/>
        <v>Physical or Occupational Therapy/Massage</v>
      </c>
      <c r="O12" s="94">
        <f>Asmpt!$B$70</f>
        <v>40</v>
      </c>
      <c r="P12" s="95">
        <f>Asmpt!$B$71</f>
        <v>0</v>
      </c>
      <c r="Q12" s="94">
        <f>Asmpt!$B$72</f>
        <v>0</v>
      </c>
      <c r="R12" s="95">
        <f>Asmpt!$B$73</f>
        <v>0</v>
      </c>
      <c r="S12" s="96">
        <f>IF(Asmpt!$B$74=0,0,Asmpt!$B$46)</f>
        <v>0</v>
      </c>
      <c r="T12" s="89">
        <f>Asmpt!$B$51</f>
        <v>1</v>
      </c>
      <c r="U12" s="93"/>
      <c r="V12" s="97">
        <f>IF(E12=0,0,
MIN(
$O12*MAX(E12-CEILING($Q12+$P12*MIN($O$32-SUM(W$9:W11),$P$32-SUM(W$9:W11,$U$35:U$35))/(F12/E12),1),0),
MAX(0,$O$33-SUMPRODUCT($T$9:$T11,V$9:V11)-SUM(W$9:X11)),
MAX(0,$P$33-SUM($U$33:U$33)-SUMPRODUCT($T$9:$T11,V$9:V11)-SUM(W$9:X11))
)
)</f>
        <v>0</v>
      </c>
      <c r="W12" s="97">
        <f>MIN(
$R12*MAX(F12-V12-MIN(F12,$Q12),0),
MAX(0,$O$32-SUM(W$9:W11)),
MAX(0,$P$32-SUM($U$35:U$35)-SUM(W$9:W11)),
MAX(0,$O$33-SUMPRODUCT($T$9:$T12,V$9:V12)-SUM(W$9:X11)),
MAX(0,$P$33-SUM($U$33:U$33)-SUMPRODUCT($T$9:$T12,V$9:V12)-SUM(W$9:X11))
)</f>
        <v>0</v>
      </c>
      <c r="X12" s="97">
        <f>MIN(
$S12*MAX(F12-$Q12-V12-W12,0),
MAX(0,$O$33-SUMPRODUCT($T$9:$T12,V$9:V12)-SUM(W$9:W12)-SUM(X$9:X11)),
MAX(0,$P$33-SUM($U$33:U$33)-SUMPRODUCT($T$9:$T12,V$9:V12)-SUM(W$9:W12)-SUM(X$9:X11))
)</f>
        <v>0</v>
      </c>
      <c r="Y12" s="97">
        <f>IF(H12=0,0,
MIN(
$O12*MAX(H12-CEILING($Q12+$P12*MIN($O$32-SUM(Z$9:Z11),$P$32-SUM(Z$9:Z11,$U$35:X$35))/(I12/H12),1),0),
MAX(0,$O$33-SUMPRODUCT($T$9:$T11,Y$9:Y11)-SUM(Z$9:AA11)),
MAX(0,$P$33-SUM($U$33:X$33)-SUMPRODUCT($T$9:$T11,Y$9:Y11)-SUM(Z$9:AA11))
)
)</f>
        <v>0</v>
      </c>
      <c r="Z12" s="97">
        <f>MIN(
$R12*MAX(I12-Y12-MIN(I12,$Q12),0),
MAX(0,$O$32-SUM(Z$9:Z11)),
MAX(0,$P$32-SUM($U$35:X$35)-SUM(Z$9:Z11)),
MAX(0,$O$33-SUMPRODUCT($T$9:$T12,Y$9:Y12)-SUM(Z$9:AA11)),
MAX(0,$P$33-SUM($U$33:X$33)-SUMPRODUCT($T$9:$T12,Y$9:Y12)-SUM(Z$9:AA11))
)</f>
        <v>0</v>
      </c>
      <c r="AA12" s="97">
        <f>MIN(
$S12*MAX(I12-$Q12-Y12-Z12,0),
MAX(0,$O$33-SUMPRODUCT($T$9:$T12,Y$9:Y12)-SUM(Z$9:Z12)-SUM(AA$9:AA11)),
MAX(0,$P$33-SUM($U$33:X$33)-SUMPRODUCT($T$9:$T12,Y$9:Y12)-SUM(Z$9:Z12)-SUM(AA$9:AA11))
)</f>
        <v>0</v>
      </c>
      <c r="AB12" s="97">
        <f>IF(K12=0,0,
MIN(
$O12*MAX(K12-CEILING($Q12+$P12*MIN($O$32-SUM(AC$9:AC11),$P$32-SUM(AC$9:AC11,$U$35:AA$35))/(L12/K12),1),0),
MAX(0,$O$33-SUMPRODUCT($T$9:$T11,AB$9:AB11)-SUM(AC$9:AD11)),
MAX(0,$P$33-SUM($U$33:AA$33)-SUMPRODUCT($T$9:$T11,AB$9:AB11)-SUM(AC$9:AD11))
)
)</f>
        <v>0</v>
      </c>
      <c r="AC12" s="97">
        <f>MIN(
$R12*MAX(L12-AB12-MIN(L12,$Q12),0),
MAX(0,$O$32-SUM(AC$9:AC11)),
MAX(0,$P$32-SUM($U$35:AA$35)-SUM(AC$9:AC11)),
MAX(0,$O$33-SUMPRODUCT($T$9:$T12,AB$9:AB12)-SUM(AC$9:AD11)),
MAX(0,$P$33-SUM($U$33:AA$33)-SUMPRODUCT($T$9:$T12,AB$9:AB12)-SUM(AC$9:AD11))
)</f>
        <v>0</v>
      </c>
      <c r="AD12" s="97">
        <f>MIN(
$S12*MAX(L12-$Q12-AB12-AC12,0),
MAX(0,$O$33-SUMPRODUCT($T$9:$T12,AB$9:AB12)-SUM(AC$9:AC12)-SUM(AD$9:AD11)),
MAX(0,$P$33-SUM($U$33:AA$33)-SUMPRODUCT($T$9:$T12,AB$9:AB12)-SUM(AC$9:AC12)-SUM(AD$9:AD11))
)</f>
        <v>0</v>
      </c>
      <c r="AE12" s="97">
        <f>C12-SUM(V12:AD12)</f>
        <v>0</v>
      </c>
    </row>
    <row r="13" spans="1:32" s="66" customFormat="1" ht="17.100000000000001" customHeight="1">
      <c r="A13" s="92" t="s">
        <v>233</v>
      </c>
      <c r="B13" s="90">
        <f>'Cost Estimator'!F16</f>
        <v>0</v>
      </c>
      <c r="C13" s="91">
        <f>B13*Asmpt!$B21</f>
        <v>0</v>
      </c>
      <c r="E13" s="90">
        <f t="shared" ref="E13:E29" si="5">ROUND(E$72*B13,0)</f>
        <v>0</v>
      </c>
      <c r="F13" s="91">
        <f t="shared" si="0"/>
        <v>0</v>
      </c>
      <c r="G13" s="92"/>
      <c r="H13" s="90">
        <f t="shared" ref="H13:H29" si="6">IF(E$71&lt;4,B13-E13,ROUND(H$72*B13,0))</f>
        <v>0</v>
      </c>
      <c r="I13" s="91">
        <f t="shared" si="1"/>
        <v>0</v>
      </c>
      <c r="J13" s="92"/>
      <c r="K13" s="93">
        <f t="shared" si="2"/>
        <v>0</v>
      </c>
      <c r="L13" s="91">
        <f t="shared" si="3"/>
        <v>0</v>
      </c>
      <c r="N13" s="66" t="str">
        <f t="shared" si="4"/>
        <v>Chiro/Accupuncture</v>
      </c>
      <c r="O13" s="94">
        <f>Asmpt!$B$76</f>
        <v>25</v>
      </c>
      <c r="P13" s="95">
        <f>Asmpt!$B$77</f>
        <v>0</v>
      </c>
      <c r="Q13" s="94">
        <f>Asmpt!$B$78</f>
        <v>0</v>
      </c>
      <c r="R13" s="95">
        <f>Asmpt!$B$79</f>
        <v>0</v>
      </c>
      <c r="S13" s="96">
        <f>IF(Asmpt!$B$80=0,0,Asmpt!$B$46)</f>
        <v>0</v>
      </c>
      <c r="T13" s="89">
        <f>Asmpt!$B$51</f>
        <v>1</v>
      </c>
      <c r="U13" s="93"/>
      <c r="V13" s="97">
        <f>IF(E13=0,0,
MIN(
$O13*MAX(E13-CEILING($Q13+$P13*MIN($O$32-SUM(W$9:W12),$P$32-SUM(W$9:W12,$U$35:U$35))/(F13/E13),1),0),
MAX(0,$O$33-SUMPRODUCT($T$9:$T12,V$9:V12)-SUM(W$9:X12)),
MAX(0,$P$33-SUM($U$33:U$33)-SUMPRODUCT($T$9:$T12,V$9:V12)-SUM(W$9:X12))
)
)</f>
        <v>0</v>
      </c>
      <c r="W13" s="97">
        <f>MIN(
$R13*MAX(F13-V13-MIN(F13,$Q13),0),
MAX(0,$O$32-SUM(W$9:W12)),
MAX(0,$P$32-SUM($U$35:U$35)-SUM(W$9:W12)),
MAX(0,$O$33-SUMPRODUCT($T$9:$T13,V$9:V13)-SUM(W$9:X12)),
MAX(0,$P$33-SUM($U$33:U$33)-SUMPRODUCT($T$9:$T13,V$9:V13)-SUM(W$9:X12))
)</f>
        <v>0</v>
      </c>
      <c r="X13" s="97">
        <f>MIN(
$S13*MAX(F13-$Q13-V13-W13,0),
MAX(0,$O$33-SUMPRODUCT($T$9:$T13,V$9:V13)-SUM(W$9:W13)-SUM(X$9:X12)),
MAX(0,$P$33-SUM($U$33:U$33)-SUMPRODUCT($T$9:$T13,V$9:V13)-SUM(W$9:W13)-SUM(X$9:X12))
)</f>
        <v>0</v>
      </c>
      <c r="Y13" s="97">
        <f>IF(H13=0,0,
MIN(
$O13*MAX(H13-CEILING($Q13+$P13*MIN($O$32-SUM(Z$9:Z12),$P$32-SUM(Z$9:Z12,$U$35:X$35))/(I13/H13),1),0),
MAX(0,$O$33-SUMPRODUCT($T$9:$T12,Y$9:Y12)-SUM(Z$9:AA12)),
MAX(0,$P$33-SUM($U$33:X$33)-SUMPRODUCT($T$9:$T12,Y$9:Y12)-SUM(Z$9:AA12))
)
)</f>
        <v>0</v>
      </c>
      <c r="Z13" s="97">
        <f>MIN(
$R13*MAX(I13-Y13-MIN(I13,$Q13),0),
MAX(0,$O$32-SUM(Z$9:Z12)),
MAX(0,$P$32-SUM($U$35:X$35)-SUM(Z$9:Z12)),
MAX(0,$O$33-SUMPRODUCT($T$9:$T13,Y$9:Y13)-SUM(Z$9:AA12)),
MAX(0,$P$33-SUM($U$33:X$33)-SUMPRODUCT($T$9:$T13,Y$9:Y13)-SUM(Z$9:AA12))
)</f>
        <v>0</v>
      </c>
      <c r="AA13" s="97">
        <f>MIN(
$S13*MAX(I13-$Q13-Y13-Z13,0),
MAX(0,$O$33-SUMPRODUCT($T$9:$T13,Y$9:Y13)-SUM(Z$9:Z13)-SUM(AA$9:AA12)),
MAX(0,$P$33-SUM($U$33:X$33)-SUMPRODUCT($T$9:$T13,Y$9:Y13)-SUM(Z$9:Z13)-SUM(AA$9:AA12))
)</f>
        <v>0</v>
      </c>
      <c r="AB13" s="97">
        <f>IF(K13=0,0,
MIN(
$O13*MAX(K13-CEILING($Q13+$P13*MIN($O$32-SUM(AC$9:AC12),$P$32-SUM(AC$9:AC12,$U$35:AA$35))/(L13/K13),1),0),
MAX(0,$O$33-SUMPRODUCT($T$9:$T12,AB$9:AB12)-SUM(AC$9:AD12)),
MAX(0,$P$33-SUM($U$33:AA$33)-SUMPRODUCT($T$9:$T12,AB$9:AB12)-SUM(AC$9:AD12))
)
)</f>
        <v>0</v>
      </c>
      <c r="AC13" s="97">
        <f>MIN(
$R13*MAX(L13-AB13-MIN(L13,$Q13),0),
MAX(0,$O$32-SUM(AC$9:AC12)),
MAX(0,$P$32-SUM($U$35:AA$35)-SUM(AC$9:AC12)),
MAX(0,$O$33-SUMPRODUCT($T$9:$T13,AB$9:AB13)-SUM(AC$9:AD12)),
MAX(0,$P$33-SUM($U$33:AA$33)-SUMPRODUCT($T$9:$T13,AB$9:AB13)-SUM(AC$9:AD12))
)</f>
        <v>0</v>
      </c>
      <c r="AD13" s="97">
        <f>MIN(
$S13*MAX(L13-$Q13-AB13-AC13,0),
MAX(0,$O$33-SUMPRODUCT($T$9:$T13,AB$9:AB13)-SUM(AC$9:AC13)-SUM(AD$9:AD12)),
MAX(0,$P$33-SUM($U$33:AA$33)-SUMPRODUCT($T$9:$T13,AB$9:AB13)-SUM(AC$9:AC13)-SUM(AD$9:AD12))
)</f>
        <v>0</v>
      </c>
      <c r="AE13" s="97">
        <f>C13-SUM(V13:AD13)</f>
        <v>0</v>
      </c>
    </row>
    <row r="14" spans="1:32" s="66" customFormat="1" ht="17.100000000000001" customHeight="1">
      <c r="A14" s="92" t="s">
        <v>111</v>
      </c>
      <c r="B14" s="90">
        <f>'Cost Estimator'!G16</f>
        <v>0</v>
      </c>
      <c r="C14" s="91">
        <f>B14*Asmpt!$B22</f>
        <v>0</v>
      </c>
      <c r="E14" s="90">
        <f t="shared" si="5"/>
        <v>0</v>
      </c>
      <c r="F14" s="91">
        <f t="shared" si="0"/>
        <v>0</v>
      </c>
      <c r="G14" s="92"/>
      <c r="H14" s="90">
        <f t="shared" si="6"/>
        <v>0</v>
      </c>
      <c r="I14" s="91">
        <f t="shared" si="1"/>
        <v>0</v>
      </c>
      <c r="J14" s="92"/>
      <c r="K14" s="93">
        <f t="shared" si="2"/>
        <v>0</v>
      </c>
      <c r="L14" s="91">
        <f t="shared" si="3"/>
        <v>0</v>
      </c>
      <c r="N14" s="66" t="str">
        <f t="shared" si="4"/>
        <v>Specialist Office Visits</v>
      </c>
      <c r="O14" s="94">
        <f>Asmpt!$B$82</f>
        <v>40</v>
      </c>
      <c r="P14" s="95">
        <f>Asmpt!$B$83</f>
        <v>0</v>
      </c>
      <c r="Q14" s="94">
        <f>Asmpt!$B$84</f>
        <v>0</v>
      </c>
      <c r="R14" s="95">
        <f>Asmpt!$B$85</f>
        <v>0</v>
      </c>
      <c r="S14" s="96">
        <f>IF(Asmpt!$B$86=0,0,Asmpt!$B$46)</f>
        <v>0</v>
      </c>
      <c r="T14" s="89">
        <f>Asmpt!$B$51</f>
        <v>1</v>
      </c>
      <c r="U14" s="93"/>
      <c r="V14" s="97">
        <f>IF(E14=0,0,
MIN(
$O14*MAX(E14-CEILING($Q14+$P14*MIN($O$32-SUM(W$9:W13),$P$32-SUM(W$9:W13,$U$35:U$35))/(F14/E14),1),0),
MAX(0,$O$33-SUMPRODUCT($T$9:$T13,V$9:V13)-SUM(W$9:X13)),
MAX(0,$P$33-SUM($U$33:U$33)-SUMPRODUCT($T$9:$T13,V$9:V13)-SUM(W$9:X13))
)
)</f>
        <v>0</v>
      </c>
      <c r="W14" s="97">
        <f>MIN(
$R14*MAX(F14-V14-MIN(F14,$Q14),0),
MAX(0,$O$32-SUM(W$9:W13)),
MAX(0,$P$32-SUM($U$35:U$35)-SUM(W$9:W13)),
MAX(0,$O$33-SUMPRODUCT($T$9:$T14,V$9:V14)-SUM(W$9:X13)),
MAX(0,$P$33-SUM($U$33:U$33)-SUMPRODUCT($T$9:$T14,V$9:V14)-SUM(W$9:X13))
)</f>
        <v>0</v>
      </c>
      <c r="X14" s="97">
        <f>MIN(
$S14*MAX(F14-$Q14-V14-W14,0),
MAX(0,$O$33-SUMPRODUCT($T$9:$T14,V$9:V14)-SUM(W$9:W14)-SUM(X$9:X13)),
MAX(0,$P$33-SUM($U$33:U$33)-SUMPRODUCT($T$9:$T14,V$9:V14)-SUM(W$9:W14)-SUM(X$9:X13))
)</f>
        <v>0</v>
      </c>
      <c r="Y14" s="97">
        <f>IF(H14=0,0,
MIN(
$O14*MAX(H14-CEILING($Q14+$P14*MIN($O$32-SUM(Z$9:Z13),$P$32-SUM(Z$9:Z13,$U$35:X$35))/(I14/H14),1),0),
MAX(0,$O$33-SUMPRODUCT($T$9:$T13,Y$9:Y13)-SUM(Z$9:AA13)),
MAX(0,$P$33-SUM($U$33:X$33)-SUMPRODUCT($T$9:$T13,Y$9:Y13)-SUM(Z$9:AA13))
)
)</f>
        <v>0</v>
      </c>
      <c r="Z14" s="97">
        <f>MIN(
$R14*MAX(I14-Y14-MIN(I14,$Q14),0),
MAX(0,$O$32-SUM(Z$9:Z13)),
MAX(0,$P$32-SUM($U$35:X$35)-SUM(Z$9:Z13)),
MAX(0,$O$33-SUMPRODUCT($T$9:$T14,Y$9:Y14)-SUM(Z$9:AA13)),
MAX(0,$P$33-SUM($U$33:X$33)-SUMPRODUCT($T$9:$T14,Y$9:Y14)-SUM(Z$9:AA13))
)</f>
        <v>0</v>
      </c>
      <c r="AA14" s="97">
        <f>MIN(
$S14*MAX(I14-$Q14-Y14-Z14,0),
MAX(0,$O$33-SUMPRODUCT($T$9:$T14,Y$9:Y14)-SUM(Z$9:Z14)-SUM(AA$9:AA13)),
MAX(0,$P$33-SUM($U$33:X$33)-SUMPRODUCT($T$9:$T14,Y$9:Y14)-SUM(Z$9:Z14)-SUM(AA$9:AA13))
)</f>
        <v>0</v>
      </c>
      <c r="AB14" s="97">
        <f>IF(K14=0,0,
MIN(
$O14*MAX(K14-CEILING($Q14+$P14*MIN($O$32-SUM(AC$9:AC13),$P$32-SUM(AC$9:AC13,$U$35:AA$35))/(L14/K14),1),0),
MAX(0,$O$33-SUMPRODUCT($T$9:$T13,AB$9:AB13)-SUM(AC$9:AD13)),
MAX(0,$P$33-SUM($U$33:AA$33)-SUMPRODUCT($T$9:$T13,AB$9:AB13)-SUM(AC$9:AD13))
)
)</f>
        <v>0</v>
      </c>
      <c r="AC14" s="97">
        <f>MIN(
$R14*MAX(L14-AB14-MIN(L14,$Q14),0),
MAX(0,$O$32-SUM(AC$9:AC13)),
MAX(0,$P$32-SUM($U$35:AA$35)-SUM(AC$9:AC13)),
MAX(0,$O$33-SUMPRODUCT($T$9:$T14,AB$9:AB14)-SUM(AC$9:AD13)),
MAX(0,$P$33-SUM($U$33:AA$33)-SUMPRODUCT($T$9:$T14,AB$9:AB14)-SUM(AC$9:AD13))
)</f>
        <v>0</v>
      </c>
      <c r="AD14" s="97">
        <f>MIN(
$S14*MAX(L14-$Q14-AB14-AC14,0),
MAX(0,$O$33-SUMPRODUCT($T$9:$T14,AB$9:AB14)-SUM(AC$9:AC14)-SUM(AD$9:AD13)),
MAX(0,$P$33-SUM($U$33:AA$33)-SUMPRODUCT($T$9:$T14,AB$9:AB14)-SUM(AC$9:AC14)-SUM(AD$9:AD13))
)</f>
        <v>0</v>
      </c>
      <c r="AE14" s="97">
        <f>C14-SUM(V14:AD14)</f>
        <v>0</v>
      </c>
    </row>
    <row r="15" spans="1:32" s="66" customFormat="1" ht="17.100000000000001" customHeight="1">
      <c r="A15" s="92" t="s">
        <v>215</v>
      </c>
      <c r="B15" s="90">
        <f>'Cost Estimator'!F23</f>
        <v>0</v>
      </c>
      <c r="C15" s="91">
        <f>B15*Asmpt!$B23</f>
        <v>0</v>
      </c>
      <c r="E15" s="90">
        <f t="shared" si="5"/>
        <v>0</v>
      </c>
      <c r="F15" s="91">
        <f>IF($B15=0,0,$C15/$B15*E15)</f>
        <v>0</v>
      </c>
      <c r="G15" s="92"/>
      <c r="H15" s="90">
        <f t="shared" si="6"/>
        <v>0</v>
      </c>
      <c r="I15" s="91">
        <f>IF($B15=0,0,$C15/$B15*H15)</f>
        <v>0</v>
      </c>
      <c r="J15" s="92"/>
      <c r="K15" s="93">
        <f t="shared" si="2"/>
        <v>0</v>
      </c>
      <c r="L15" s="91">
        <f>IF($B15=0,0,$C15/$B15*K15)</f>
        <v>0</v>
      </c>
      <c r="N15" s="66" t="str">
        <f t="shared" si="4"/>
        <v>Retail Preferred Generic</v>
      </c>
      <c r="O15" s="94">
        <f>Asmpt!$B$88</f>
        <v>10</v>
      </c>
      <c r="P15" s="95">
        <f>Asmpt!$B$89</f>
        <v>0</v>
      </c>
      <c r="Q15" s="94">
        <f>Asmpt!$B$90</f>
        <v>0</v>
      </c>
      <c r="R15" s="95">
        <f>Asmpt!$B$91</f>
        <v>0</v>
      </c>
      <c r="S15" s="96">
        <f>IF(Asmpt!$B$92=0,0,Asmpt!$B$47)</f>
        <v>0</v>
      </c>
      <c r="T15" s="89">
        <f>Asmpt!$B$51</f>
        <v>1</v>
      </c>
      <c r="U15" s="93"/>
      <c r="V15" s="97">
        <f>IF(E15=0,0,
MIN(
$O15*MAX(E15-CEILING($Q15+$P15*MIN($O$32-SUM(W$9:W14),$P$32-SUM(W$9:W14,$U$35:U$35))/(F15/E15),1),0),
MAX(0,$O$33-SUMPRODUCT($T$9:$T14,V$9:V14)-SUM(W$9:X14)),
MAX(0,$P$33-SUM($U$33:U$33)-SUMPRODUCT($T$9:$T14,V$9:V14)-SUM(W$9:X14))
)
)</f>
        <v>0</v>
      </c>
      <c r="W15" s="97">
        <f>MIN(
$R15*MAX(F15-V15-MIN(F15,$Q15),0),
MAX(0,$O$32-SUM(W$9:W14)),
MAX(0,$P$32-SUM($U$35:U$35)-SUM(W$9:W14)),
MAX(0,$O$33-SUMPRODUCT($T$9:$T15,V$9:V15)-SUM(W$9:X14)),
MAX(0,$P$33-SUM($U$33:U$33)-SUMPRODUCT($T$9:$T15,V$9:V15)-SUM(W$9:X14))
)</f>
        <v>0</v>
      </c>
      <c r="X15" s="97">
        <f>MIN(
$S15*MAX(F15-$Q15-V15-W15,0),
MAX(0,$O$33-SUMPRODUCT($T$9:$T15,V$9:V15)-SUM(W$9:W15)-SUM(X$9:X14)),
MAX(0,$P$33-SUM($U$33:U$33)-SUMPRODUCT($T$9:$T15,V$9:V15)-SUM(W$9:W15)-SUM(X$9:X14))
)</f>
        <v>0</v>
      </c>
      <c r="Y15" s="97">
        <f>IF(H15=0,0,
MIN(
$O15*MAX(H15-CEILING($Q15+$P15*MIN($O$32-SUM(Z$9:Z14),$P$32-SUM(Z$9:Z14,$U$35:X$35))/(I15/H15),1),0),
MAX(0,$O$33-SUMPRODUCT($T$9:$T14,Y$9:Y14)-SUM(Z$9:AA14)),
MAX(0,$P$33-SUM($U$33:X$33)-SUMPRODUCT($T$9:$T14,Y$9:Y14)-SUM(Z$9:AA14))
)
)</f>
        <v>0</v>
      </c>
      <c r="Z15" s="97">
        <f>MIN(
$R15*MAX(I15-Y15-MIN(I15,$Q15),0),
MAX(0,$O$32-SUM(Z$9:Z14)),
MAX(0,$P$32-SUM($U$35:X$35)-SUM(Z$9:Z14)),
MAX(0,$O$33-SUMPRODUCT($T$9:$T15,Y$9:Y15)-SUM(Z$9:AA14)),
MAX(0,$P$33-SUM($U$33:X$33)-SUMPRODUCT($T$9:$T15,Y$9:Y15)-SUM(Z$9:AA14))
)</f>
        <v>0</v>
      </c>
      <c r="AA15" s="97">
        <f>MIN(
$S15*MAX(I15-$Q15-Y15-Z15,0),
MAX(0,$O$33-SUMPRODUCT($T$9:$T15,Y$9:Y15)-SUM(Z$9:Z15)-SUM(AA$9:AA14)),
MAX(0,$P$33-SUM($U$33:X$33)-SUMPRODUCT($T$9:$T15,Y$9:Y15)-SUM(Z$9:Z15)-SUM(AA$9:AA14))
)</f>
        <v>0</v>
      </c>
      <c r="AB15" s="97">
        <f>IF(K15=0,0,
MIN(
$O15*MAX(K15-CEILING($Q15+$P15*MIN($O$32-SUM(AC$9:AC14),$P$32-SUM(AC$9:AC14,$U$35:AA$35))/(L15/K15),1),0),
MAX(0,$O$33-SUMPRODUCT($T$9:$T14,AB$9:AB14)-SUM(AC$9:AD14)),
MAX(0,$P$33-SUM($U$33:AA$33)-SUMPRODUCT($T$9:$T14,AB$9:AB14)-SUM(AC$9:AD14))
)
)</f>
        <v>0</v>
      </c>
      <c r="AC15" s="97">
        <f>MIN(
$R15*MAX(L15-AB15-MIN(L15,$Q15),0),
MAX(0,$O$32-SUM(AC$9:AC14)),
MAX(0,$P$32-SUM($U$35:AA$35)-SUM(AC$9:AC14)),
MAX(0,$O$33-SUMPRODUCT($T$9:$T15,AB$9:AB15)-SUM(AC$9:AD14)),
MAX(0,$P$33-SUM($U$33:AA$33)-SUMPRODUCT($T$9:$T15,AB$9:AB15)-SUM(AC$9:AD14))
)</f>
        <v>0</v>
      </c>
      <c r="AD15" s="97">
        <f>MIN(
$S15*MAX(L15-$Q15-AB15-AC15,0),
MAX(0,$O$33-SUMPRODUCT($T$9:$T15,AB$9:AB15)-SUM(AC$9:AC15)-SUM(AD$9:AD14)),
MAX(0,$P$33-SUM($U$33:AA$33)-SUMPRODUCT($T$9:$T15,AB$9:AB15)-SUM(AC$9:AC15)-SUM(AD$9:AD14))
)</f>
        <v>0</v>
      </c>
      <c r="AE15" s="97">
        <f t="shared" ref="AE15:AE29" si="7">C15-SUM(V15:AD15)</f>
        <v>0</v>
      </c>
    </row>
    <row r="16" spans="1:32" s="66" customFormat="1" ht="17.100000000000001" customHeight="1">
      <c r="A16" s="92" t="s">
        <v>216</v>
      </c>
      <c r="B16" s="90">
        <f>'Cost Estimator'!F24</f>
        <v>0</v>
      </c>
      <c r="C16" s="91">
        <f>B16*Asmpt!$B24</f>
        <v>0</v>
      </c>
      <c r="E16" s="90">
        <f t="shared" si="5"/>
        <v>0</v>
      </c>
      <c r="F16" s="91">
        <f t="shared" si="0"/>
        <v>0</v>
      </c>
      <c r="G16" s="92"/>
      <c r="H16" s="90">
        <f t="shared" si="6"/>
        <v>0</v>
      </c>
      <c r="I16" s="91">
        <f t="shared" ref="I16:I24" si="8">IF($B16=0,0,$C16/$B16*H16)</f>
        <v>0</v>
      </c>
      <c r="J16" s="92"/>
      <c r="K16" s="93">
        <f t="shared" si="2"/>
        <v>0</v>
      </c>
      <c r="L16" s="91">
        <f t="shared" ref="L16:L24" si="9">IF($B16=0,0,$C16/$B16*K16)</f>
        <v>0</v>
      </c>
      <c r="N16" s="66" t="str">
        <f t="shared" si="4"/>
        <v>Retail Non-Preferred Generic</v>
      </c>
      <c r="O16" s="94">
        <f>Asmpt!$B$94</f>
        <v>0</v>
      </c>
      <c r="P16" s="95">
        <f>Asmpt!$B$95</f>
        <v>0</v>
      </c>
      <c r="Q16" s="94">
        <f>Asmpt!$B$96</f>
        <v>0</v>
      </c>
      <c r="R16" s="95">
        <f>Asmpt!$B$97</f>
        <v>0</v>
      </c>
      <c r="S16" s="96">
        <f>IF(Asmpt!$B$98=0,0,Asmpt!$B$47)</f>
        <v>0.3</v>
      </c>
      <c r="T16" s="89">
        <f>Asmpt!$B$51</f>
        <v>1</v>
      </c>
      <c r="U16" s="93"/>
      <c r="V16" s="97">
        <f>IF(E16=0,0,
MIN(
$O16*MAX(E16-CEILING($Q16+$P16*MIN($O$32-SUM(W$9:W15),$P$32-SUM(W$9:W15,$U$35:U$35))/(F16/E16),1),0),
MAX(0,$O$33-SUMPRODUCT($T$9:$T15,V$9:V15)-SUM(W$9:X15)),
MAX(0,$P$33-SUM($U$33:U$33)-SUMPRODUCT($T$9:$T15,V$9:V15)-SUM(W$9:X15))
)
)</f>
        <v>0</v>
      </c>
      <c r="W16" s="97">
        <f>MIN(
$R16*MAX(F16-V16-MIN(F16,$Q16),0),
MAX(0,$O$32-SUM(W$9:W15)),
MAX(0,$P$32-SUM($U$35:U$35)-SUM(W$9:W15)),
MAX(0,$O$33-SUMPRODUCT($T$9:$T16,V$9:V16)-SUM(W$9:X15)),
MAX(0,$P$33-SUM($U$33:U$33)-SUMPRODUCT($T$9:$T16,V$9:V16)-SUM(W$9:X15))
)</f>
        <v>0</v>
      </c>
      <c r="X16" s="97">
        <f>MIN(
$S16*MAX(F16-$Q16-V16-W16,0),
MAX(0,$O$33-SUMPRODUCT($T$9:$T16,V$9:V16)-SUM(W$9:W16)-SUM(X$9:X15)),
MAX(0,$P$33-SUM($U$33:U$33)-SUMPRODUCT($T$9:$T16,V$9:V16)-SUM(W$9:W16)-SUM(X$9:X15))
)</f>
        <v>0</v>
      </c>
      <c r="Y16" s="97">
        <f>IF(H16=0,0,
MIN(
$O16*MAX(H16-CEILING($Q16+$P16*MIN($O$32-SUM(Z$9:Z15),$P$32-SUM(Z$9:Z15,$U$35:X$35))/(I16/H16),1),0),
MAX(0,$O$33-SUMPRODUCT($T$9:$T15,Y$9:Y15)-SUM(Z$9:AA15)),
MAX(0,$P$33-SUM($U$33:X$33)-SUMPRODUCT($T$9:$T15,Y$9:Y15)-SUM(Z$9:AA15))
)
)</f>
        <v>0</v>
      </c>
      <c r="Z16" s="97">
        <f>MIN(
$R16*MAX(I16-Y16-MIN(I16,$Q16),0),
MAX(0,$O$32-SUM(Z$9:Z15)),
MAX(0,$P$32-SUM($U$35:X$35)-SUM(Z$9:Z15)),
MAX(0,$O$33-SUMPRODUCT($T$9:$T16,Y$9:Y16)-SUM(Z$9:AA15)),
MAX(0,$P$33-SUM($U$33:X$33)-SUMPRODUCT($T$9:$T16,Y$9:Y16)-SUM(Z$9:AA15))
)</f>
        <v>0</v>
      </c>
      <c r="AA16" s="97">
        <f>MIN(
$S16*MAX(I16-$Q16-Y16-Z16,0),
MAX(0,$O$33-SUMPRODUCT($T$9:$T16,Y$9:Y16)-SUM(Z$9:Z16)-SUM(AA$9:AA15)),
MAX(0,$P$33-SUM($U$33:X$33)-SUMPRODUCT($T$9:$T16,Y$9:Y16)-SUM(Z$9:Z16)-SUM(AA$9:AA15))
)</f>
        <v>0</v>
      </c>
      <c r="AB16" s="97">
        <f>IF(K16=0,0,
MIN(
$O16*MAX(K16-CEILING($Q16+$P16*MIN($O$32-SUM(AC$9:AC15),$P$32-SUM(AC$9:AC15,$U$35:AA$35))/(L16/K16),1),0),
MAX(0,$O$33-SUMPRODUCT($T$9:$T15,AB$9:AB15)-SUM(AC$9:AD15)),
MAX(0,$P$33-SUM($U$33:AA$33)-SUMPRODUCT($T$9:$T15,AB$9:AB15)-SUM(AC$9:AD15))
)
)</f>
        <v>0</v>
      </c>
      <c r="AC16" s="97">
        <f>MIN(
$R16*MAX(L16-AB16-MIN(L16,$Q16),0),
MAX(0,$O$32-SUM(AC$9:AC15)),
MAX(0,$P$32-SUM($U$35:AA$35)-SUM(AC$9:AC15)),
MAX(0,$O$33-SUMPRODUCT($T$9:$T16,AB$9:AB16)-SUM(AC$9:AD15)),
MAX(0,$P$33-SUM($U$33:AA$33)-SUMPRODUCT($T$9:$T16,AB$9:AB16)-SUM(AC$9:AD15))
)</f>
        <v>0</v>
      </c>
      <c r="AD16" s="97">
        <f>MIN(
$S16*MAX(L16-$Q16-AB16-AC16,0),
MAX(0,$O$33-SUMPRODUCT($T$9:$T16,AB$9:AB16)-SUM(AC$9:AC16)-SUM(AD$9:AD15)),
MAX(0,$P$33-SUM($U$33:AA$33)-SUMPRODUCT($T$9:$T16,AB$9:AB16)-SUM(AC$9:AC16)-SUM(AD$9:AD15))
)</f>
        <v>0</v>
      </c>
      <c r="AE16" s="97">
        <f t="shared" si="7"/>
        <v>0</v>
      </c>
    </row>
    <row r="17" spans="1:31" s="66" customFormat="1" ht="17.100000000000001" customHeight="1">
      <c r="A17" s="92" t="s">
        <v>112</v>
      </c>
      <c r="B17" s="90">
        <f>'Cost Estimator'!F25</f>
        <v>0</v>
      </c>
      <c r="C17" s="91">
        <f>B17*Asmpt!$B25</f>
        <v>0</v>
      </c>
      <c r="E17" s="90">
        <f t="shared" si="5"/>
        <v>0</v>
      </c>
      <c r="F17" s="91">
        <f t="shared" si="0"/>
        <v>0</v>
      </c>
      <c r="G17" s="92"/>
      <c r="H17" s="90">
        <f t="shared" si="6"/>
        <v>0</v>
      </c>
      <c r="I17" s="91">
        <f t="shared" si="8"/>
        <v>0</v>
      </c>
      <c r="J17" s="92"/>
      <c r="K17" s="93">
        <f t="shared" si="2"/>
        <v>0</v>
      </c>
      <c r="L17" s="91">
        <f t="shared" si="9"/>
        <v>0</v>
      </c>
      <c r="N17" s="66" t="str">
        <f t="shared" si="4"/>
        <v>Retail Preferred Brand</v>
      </c>
      <c r="O17" s="94">
        <f>Asmpt!$B$100</f>
        <v>30</v>
      </c>
      <c r="P17" s="95">
        <f>Asmpt!$B$101</f>
        <v>0</v>
      </c>
      <c r="Q17" s="94">
        <f>Asmpt!$B$102</f>
        <v>0</v>
      </c>
      <c r="R17" s="95">
        <f>Asmpt!$B$103</f>
        <v>0</v>
      </c>
      <c r="S17" s="96">
        <f>IF(Asmpt!$B$104=0,0,Asmpt!$B$47)</f>
        <v>0</v>
      </c>
      <c r="T17" s="89">
        <f>Asmpt!$B$51</f>
        <v>1</v>
      </c>
      <c r="U17" s="93"/>
      <c r="V17" s="97">
        <f>IF(E17=0,0,
MIN(
$O17*MAX(E17-CEILING($Q17+$P17*MIN($O$32-SUM(W$9:W16),$P$32-SUM(W$9:W16,$U$35:U$35))/(F17/E17),1),0),
MAX(0,$O$33-SUMPRODUCT($T$9:$T16,V$9:V16)-SUM(W$9:X16)),
MAX(0,$P$33-SUM($U$33:U$33)-SUMPRODUCT($T$9:$T16,V$9:V16)-SUM(W$9:X16))
)
)</f>
        <v>0</v>
      </c>
      <c r="W17" s="97">
        <f>MIN(
$R17*MAX(F17-V17-MIN(F17,$Q17),0),
MAX(0,$O$32-SUM(W$9:W16)),
MAX(0,$P$32-SUM($U$35:U$35)-SUM(W$9:W16)),
MAX(0,$O$33-SUMPRODUCT($T$9:$T17,V$9:V17)-SUM(W$9:X16)),
MAX(0,$P$33-SUM($U$33:U$33)-SUMPRODUCT($T$9:$T17,V$9:V17)-SUM(W$9:X16))
)</f>
        <v>0</v>
      </c>
      <c r="X17" s="97">
        <f>MIN(
$S17*MAX(F17-$Q17-V17-W17,0),
MAX(0,$O$33-SUMPRODUCT($T$9:$T17,V$9:V17)-SUM(W$9:W17)-SUM(X$9:X16)),
MAX(0,$P$33-SUM($U$33:U$33)-SUMPRODUCT($T$9:$T17,V$9:V17)-SUM(W$9:W17)-SUM(X$9:X16))
)</f>
        <v>0</v>
      </c>
      <c r="Y17" s="97">
        <f>IF(H17=0,0,
MIN(
$O17*MAX(H17-CEILING($Q17+$P17*MIN($O$32-SUM(Z$9:Z16),$P$32-SUM(Z$9:Z16,$U$35:X$35))/(I17/H17),1),0),
MAX(0,$O$33-SUMPRODUCT($T$9:$T16,Y$9:Y16)-SUM(Z$9:AA16)),
MAX(0,$P$33-SUM($U$33:X$33)-SUMPRODUCT($T$9:$T16,Y$9:Y16)-SUM(Z$9:AA16))
)
)</f>
        <v>0</v>
      </c>
      <c r="Z17" s="97">
        <f>MIN(
$R17*MAX(I17-Y17-MIN(I17,$Q17),0),
MAX(0,$O$32-SUM(Z$9:Z16)),
MAX(0,$P$32-SUM($U$35:X$35)-SUM(Z$9:Z16)),
MAX(0,$O$33-SUMPRODUCT($T$9:$T17,Y$9:Y17)-SUM(Z$9:AA16)),
MAX(0,$P$33-SUM($U$33:X$33)-SUMPRODUCT($T$9:$T17,Y$9:Y17)-SUM(Z$9:AA16))
)</f>
        <v>0</v>
      </c>
      <c r="AA17" s="97">
        <f>MIN(
$S17*MAX(I17-$Q17-Y17-Z17,0),
MAX(0,$O$33-SUMPRODUCT($T$9:$T17,Y$9:Y17)-SUM(Z$9:Z17)-SUM(AA$9:AA16)),
MAX(0,$P$33-SUM($U$33:X$33)-SUMPRODUCT($T$9:$T17,Y$9:Y17)-SUM(Z$9:Z17)-SUM(AA$9:AA16))
)</f>
        <v>0</v>
      </c>
      <c r="AB17" s="97">
        <f>IF(K17=0,0,
MIN(
$O17*MAX(K17-CEILING($Q17+$P17*MIN($O$32-SUM(AC$9:AC16),$P$32-SUM(AC$9:AC16,$U$35:AA$35))/(L17/K17),1),0),
MAX(0,$O$33-SUMPRODUCT($T$9:$T16,AB$9:AB16)-SUM(AC$9:AD16)),
MAX(0,$P$33-SUM($U$33:AA$33)-SUMPRODUCT($T$9:$T16,AB$9:AB16)-SUM(AC$9:AD16))
)
)</f>
        <v>0</v>
      </c>
      <c r="AC17" s="97">
        <f>MIN(
$R17*MAX(L17-AB17-MIN(L17,$Q17),0),
MAX(0,$O$32-SUM(AC$9:AC16)),
MAX(0,$P$32-SUM($U$35:AA$35)-SUM(AC$9:AC16)),
MAX(0,$O$33-SUMPRODUCT($T$9:$T17,AB$9:AB17)-SUM(AC$9:AD16)),
MAX(0,$P$33-SUM($U$33:AA$33)-SUMPRODUCT($T$9:$T17,AB$9:AB17)-SUM(AC$9:AD16))
)</f>
        <v>0</v>
      </c>
      <c r="AD17" s="97">
        <f>MIN(
$S17*MAX(L17-$Q17-AB17-AC17,0),
MAX(0,$O$33-SUMPRODUCT($T$9:$T17,AB$9:AB17)-SUM(AC$9:AC17)-SUM(AD$9:AD16)),
MAX(0,$P$33-SUM($U$33:AA$33)-SUMPRODUCT($T$9:$T17,AB$9:AB17)-SUM(AC$9:AC17)-SUM(AD$9:AD16))
)</f>
        <v>0</v>
      </c>
      <c r="AE17" s="97">
        <f t="shared" si="7"/>
        <v>0</v>
      </c>
    </row>
    <row r="18" spans="1:31" s="66" customFormat="1" ht="17.100000000000001" customHeight="1">
      <c r="A18" s="92" t="s">
        <v>113</v>
      </c>
      <c r="B18" s="90">
        <f>'Cost Estimator'!F26</f>
        <v>0</v>
      </c>
      <c r="C18" s="91">
        <f>B18*Asmpt!$B26</f>
        <v>0</v>
      </c>
      <c r="E18" s="90">
        <f t="shared" si="5"/>
        <v>0</v>
      </c>
      <c r="F18" s="91">
        <f t="shared" si="0"/>
        <v>0</v>
      </c>
      <c r="G18" s="92"/>
      <c r="H18" s="90">
        <f t="shared" si="6"/>
        <v>0</v>
      </c>
      <c r="I18" s="91">
        <f t="shared" si="8"/>
        <v>0</v>
      </c>
      <c r="J18" s="92"/>
      <c r="K18" s="93">
        <f t="shared" si="2"/>
        <v>0</v>
      </c>
      <c r="L18" s="91">
        <f t="shared" si="9"/>
        <v>0</v>
      </c>
      <c r="N18" s="66" t="str">
        <f t="shared" si="4"/>
        <v>Retail Non-Preferred Brand</v>
      </c>
      <c r="O18" s="94">
        <f>Asmpt!$B$106</f>
        <v>0</v>
      </c>
      <c r="P18" s="95">
        <f>Asmpt!$B$107</f>
        <v>0</v>
      </c>
      <c r="Q18" s="94">
        <f>Asmpt!$B$108</f>
        <v>0</v>
      </c>
      <c r="R18" s="95">
        <f>Asmpt!$B$109</f>
        <v>0</v>
      </c>
      <c r="S18" s="96">
        <f>IF(Asmpt!$B$110=0,0,Asmpt!$B$47)</f>
        <v>0.3</v>
      </c>
      <c r="T18" s="89">
        <f>Asmpt!$B$51</f>
        <v>1</v>
      </c>
      <c r="U18" s="93"/>
      <c r="V18" s="97">
        <f>IF(E18=0,0,
MIN(
$O18*MAX(E18-CEILING($Q18+$P18*MIN($O$32-SUM(W$9:W17),$P$32-SUM(W$9:W17,$U$35:U$35))/(F18/E18),1),0),
MAX(0,$O$33-SUMPRODUCT($T$9:$T17,V$9:V17)-SUM(W$9:X17)),
MAX(0,$P$33-SUM($U$33:U$33)-SUMPRODUCT($T$9:$T17,V$9:V17)-SUM(W$9:X17))
)
)</f>
        <v>0</v>
      </c>
      <c r="W18" s="97">
        <f>MIN(
$R18*MAX(F18-V18-MIN(F18,$Q18),0),
MAX(0,$O$32-SUM(W$9:W17)),
MAX(0,$P$32-SUM($U$35:U$35)-SUM(W$9:W17)),
MAX(0,$O$33-SUMPRODUCT($T$9:$T18,V$9:V18)-SUM(W$9:X17)),
MAX(0,$P$33-SUM($U$33:U$33)-SUMPRODUCT($T$9:$T18,V$9:V18)-SUM(W$9:X17))
)</f>
        <v>0</v>
      </c>
      <c r="X18" s="97">
        <f>MIN(
$S18*MAX(F18-$Q18-V18-W18,0),
MAX(0,$O$33-SUMPRODUCT($T$9:$T18,V$9:V18)-SUM(W$9:W18)-SUM(X$9:X17)),
MAX(0,$P$33-SUM($U$33:U$33)-SUMPRODUCT($T$9:$T18,V$9:V18)-SUM(W$9:W18)-SUM(X$9:X17))
)</f>
        <v>0</v>
      </c>
      <c r="Y18" s="97">
        <f>IF(H18=0,0,
MIN(
$O18*MAX(H18-CEILING($Q18+$P18*MIN($O$32-SUM(Z$9:Z17),$P$32-SUM(Z$9:Z17,$U$35:X$35))/(I18/H18),1),0),
MAX(0,$O$33-SUMPRODUCT($T$9:$T17,Y$9:Y17)-SUM(Z$9:AA17)),
MAX(0,$P$33-SUM($U$33:X$33)-SUMPRODUCT($T$9:$T17,Y$9:Y17)-SUM(Z$9:AA17))
)
)</f>
        <v>0</v>
      </c>
      <c r="Z18" s="97">
        <f>MIN(
$R18*MAX(I18-Y18-MIN(I18,$Q18),0),
MAX(0,$O$32-SUM(Z$9:Z17)),
MAX(0,$P$32-SUM($U$35:X$35)-SUM(Z$9:Z17)),
MAX(0,$O$33-SUMPRODUCT($T$9:$T18,Y$9:Y18)-SUM(Z$9:AA17)),
MAX(0,$P$33-SUM($U$33:X$33)-SUMPRODUCT($T$9:$T18,Y$9:Y18)-SUM(Z$9:AA17))
)</f>
        <v>0</v>
      </c>
      <c r="AA18" s="97">
        <f>MIN(
$S18*MAX(I18-$Q18-Y18-Z18,0),
MAX(0,$O$33-SUMPRODUCT($T$9:$T18,Y$9:Y18)-SUM(Z$9:Z18)-SUM(AA$9:AA17)),
MAX(0,$P$33-SUM($U$33:X$33)-SUMPRODUCT($T$9:$T18,Y$9:Y18)-SUM(Z$9:Z18)-SUM(AA$9:AA17))
)</f>
        <v>0</v>
      </c>
      <c r="AB18" s="97">
        <f>IF(K18=0,0,
MIN(
$O18*MAX(K18-CEILING($Q18+$P18*MIN($O$32-SUM(AC$9:AC17),$P$32-SUM(AC$9:AC17,$U$35:AA$35))/(L18/K18),1),0),
MAX(0,$O$33-SUMPRODUCT($T$9:$T17,AB$9:AB17)-SUM(AC$9:AD17)),
MAX(0,$P$33-SUM($U$33:AA$33)-SUMPRODUCT($T$9:$T17,AB$9:AB17)-SUM(AC$9:AD17))
)
)</f>
        <v>0</v>
      </c>
      <c r="AC18" s="97">
        <f>MIN(
$R18*MAX(L18-AB18-MIN(L18,$Q18),0),
MAX(0,$O$32-SUM(AC$9:AC17)),
MAX(0,$P$32-SUM($U$35:AA$35)-SUM(AC$9:AC17)),
MAX(0,$O$33-SUMPRODUCT($T$9:$T18,AB$9:AB18)-SUM(AC$9:AD17)),
MAX(0,$P$33-SUM($U$33:AA$33)-SUMPRODUCT($T$9:$T18,AB$9:AB18)-SUM(AC$9:AD17))
)</f>
        <v>0</v>
      </c>
      <c r="AD18" s="97">
        <f>MIN(
$S18*MAX(L18-$Q18-AB18-AC18,0),
MAX(0,$O$33-SUMPRODUCT($T$9:$T18,AB$9:AB18)-SUM(AC$9:AC18)-SUM(AD$9:AD17)),
MAX(0,$P$33-SUM($U$33:AA$33)-SUMPRODUCT($T$9:$T18,AB$9:AB18)-SUM(AC$9:AC18)-SUM(AD$9:AD17))
)</f>
        <v>0</v>
      </c>
      <c r="AE18" s="97">
        <f t="shared" si="7"/>
        <v>0</v>
      </c>
    </row>
    <row r="19" spans="1:31" s="66" customFormat="1" ht="17.100000000000001" customHeight="1">
      <c r="A19" s="92" t="s">
        <v>213</v>
      </c>
      <c r="B19" s="90">
        <f>'Cost Estimator'!F29</f>
        <v>0</v>
      </c>
      <c r="C19" s="91">
        <f>B19*Asmpt!$B27</f>
        <v>0</v>
      </c>
      <c r="E19" s="90">
        <f t="shared" si="5"/>
        <v>0</v>
      </c>
      <c r="F19" s="91">
        <f t="shared" si="0"/>
        <v>0</v>
      </c>
      <c r="G19" s="92"/>
      <c r="H19" s="90">
        <f t="shared" si="6"/>
        <v>0</v>
      </c>
      <c r="I19" s="91">
        <f t="shared" si="8"/>
        <v>0</v>
      </c>
      <c r="J19" s="92"/>
      <c r="K19" s="93">
        <f t="shared" si="2"/>
        <v>0</v>
      </c>
      <c r="L19" s="91">
        <f t="shared" si="9"/>
        <v>0</v>
      </c>
      <c r="N19" s="66" t="str">
        <f t="shared" si="4"/>
        <v>Preferred Specialty</v>
      </c>
      <c r="O19" s="94">
        <f>Asmpt!$B$112</f>
        <v>50</v>
      </c>
      <c r="P19" s="95">
        <f>Asmpt!$B$113</f>
        <v>0</v>
      </c>
      <c r="Q19" s="94">
        <f>Asmpt!$B$114</f>
        <v>0</v>
      </c>
      <c r="R19" s="95">
        <f>Asmpt!$B$115</f>
        <v>0</v>
      </c>
      <c r="S19" s="96">
        <f>IF(Asmpt!$B$116=0,0,Asmpt!$B$47)</f>
        <v>0</v>
      </c>
      <c r="T19" s="89">
        <f>Asmpt!$B$51</f>
        <v>1</v>
      </c>
      <c r="U19" s="93"/>
      <c r="V19" s="97">
        <f>IF(E19=0,0,
MIN(
$O19*MAX(E19-CEILING($Q19+$P19*MIN($O$32-SUM(W$9:W18),$P$32-SUM(W$9:W18,$U$35:U$35))/(F19/E19),1),0),
MAX(0,$O$33-SUMPRODUCT($T$9:$T18,V$9:V18)-SUM(W$9:X18)),
MAX(0,$P$33-SUM($U$33:U$33)-SUMPRODUCT($T$9:$T18,V$9:V18)-SUM(W$9:X18))
)
)</f>
        <v>0</v>
      </c>
      <c r="W19" s="97">
        <f>MIN(
$R19*MAX(F19-V19-MIN(F19,$Q19),0),
MAX(0,$O$32-SUM(W$9:W18)),
MAX(0,$P$32-SUM($U$35:U$35)-SUM(W$9:W18)),
MAX(0,$O$33-SUMPRODUCT($T$9:$T19,V$9:V19)-SUM(W$9:X18)),
MAX(0,$P$33-SUM($U$33:U$33)-SUMPRODUCT($T$9:$T19,V$9:V19)-SUM(W$9:X18))
)</f>
        <v>0</v>
      </c>
      <c r="X19" s="97">
        <f>MIN(
$S19*MAX(F19-$Q19-V19-W19,0),
MAX(0,$O$33-SUMPRODUCT($T$9:$T19,V$9:V19)-SUM(W$9:W19)-SUM(X$9:X18)),
MAX(0,$P$33-SUM($U$33:U$33)-SUMPRODUCT($T$9:$T19,V$9:V19)-SUM(W$9:W19)-SUM(X$9:X18))
)</f>
        <v>0</v>
      </c>
      <c r="Y19" s="97">
        <f>IF(H19=0,0,
MIN(
$O19*MAX(H19-CEILING($Q19+$P19*MIN($O$32-SUM(Z$9:Z18),$P$32-SUM(Z$9:Z18,$U$35:X$35))/(I19/H19),1),0),
MAX(0,$O$33-SUMPRODUCT($T$9:$T18,Y$9:Y18)-SUM(Z$9:AA18)),
MAX(0,$P$33-SUM($U$33:X$33)-SUMPRODUCT($T$9:$T18,Y$9:Y18)-SUM(Z$9:AA18))
)
)</f>
        <v>0</v>
      </c>
      <c r="Z19" s="97">
        <f>MIN(
$R19*MAX(I19-Y19-MIN(I19,$Q19),0),
MAX(0,$O$32-SUM(Z$9:Z18)),
MAX(0,$P$32-SUM($U$35:X$35)-SUM(Z$9:Z18)),
MAX(0,$O$33-SUMPRODUCT($T$9:$T19,Y$9:Y19)-SUM(Z$9:AA18)),
MAX(0,$P$33-SUM($U$33:X$33)-SUMPRODUCT($T$9:$T19,Y$9:Y19)-SUM(Z$9:AA18))
)</f>
        <v>0</v>
      </c>
      <c r="AA19" s="97">
        <f>MIN(
$S19*MAX(I19-$Q19-Y19-Z19,0),
MAX(0,$O$33-SUMPRODUCT($T$9:$T19,Y$9:Y19)-SUM(Z$9:Z19)-SUM(AA$9:AA18)),
MAX(0,$P$33-SUM($U$33:X$33)-SUMPRODUCT($T$9:$T19,Y$9:Y19)-SUM(Z$9:Z19)-SUM(AA$9:AA18))
)</f>
        <v>0</v>
      </c>
      <c r="AB19" s="97">
        <f>IF(K19=0,0,
MIN(
$O19*MAX(K19-CEILING($Q19+$P19*MIN($O$32-SUM(AC$9:AC18),$P$32-SUM(AC$9:AC18,$U$35:AA$35))/(L19/K19),1),0),
MAX(0,$O$33-SUMPRODUCT($T$9:$T18,AB$9:AB18)-SUM(AC$9:AD18)),
MAX(0,$P$33-SUM($U$33:AA$33)-SUMPRODUCT($T$9:$T18,AB$9:AB18)-SUM(AC$9:AD18))
)
)</f>
        <v>0</v>
      </c>
      <c r="AC19" s="97">
        <f>MIN(
$R19*MAX(L19-AB19-MIN(L19,$Q19),0),
MAX(0,$O$32-SUM(AC$9:AC18)),
MAX(0,$P$32-SUM($U$35:AA$35)-SUM(AC$9:AC18)),
MAX(0,$O$33-SUMPRODUCT($T$9:$T19,AB$9:AB19)-SUM(AC$9:AD18)),
MAX(0,$P$33-SUM($U$33:AA$33)-SUMPRODUCT($T$9:$T19,AB$9:AB19)-SUM(AC$9:AD18))
)</f>
        <v>0</v>
      </c>
      <c r="AD19" s="97">
        <f>MIN(
$S19*MAX(L19-$Q19-AB19-AC19,0),
MAX(0,$O$33-SUMPRODUCT($T$9:$T19,AB$9:AB19)-SUM(AC$9:AC19)-SUM(AD$9:AD18)),
MAX(0,$P$33-SUM($U$33:AA$33)-SUMPRODUCT($T$9:$T19,AB$9:AB19)-SUM(AC$9:AC19)-SUM(AD$9:AD18))
)</f>
        <v>0</v>
      </c>
      <c r="AE19" s="97">
        <f t="shared" si="7"/>
        <v>0</v>
      </c>
    </row>
    <row r="20" spans="1:31" s="66" customFormat="1" ht="17.100000000000001" customHeight="1">
      <c r="A20" s="92" t="s">
        <v>214</v>
      </c>
      <c r="B20" s="90">
        <f>'Cost Estimator'!F30</f>
        <v>0</v>
      </c>
      <c r="C20" s="91">
        <f>B20*Asmpt!$B28</f>
        <v>0</v>
      </c>
      <c r="E20" s="90">
        <f t="shared" si="5"/>
        <v>0</v>
      </c>
      <c r="F20" s="91">
        <f t="shared" si="0"/>
        <v>0</v>
      </c>
      <c r="G20" s="92"/>
      <c r="H20" s="90">
        <f t="shared" si="6"/>
        <v>0</v>
      </c>
      <c r="I20" s="91">
        <f t="shared" si="8"/>
        <v>0</v>
      </c>
      <c r="J20" s="92"/>
      <c r="K20" s="93">
        <f t="shared" si="2"/>
        <v>0</v>
      </c>
      <c r="L20" s="91">
        <f t="shared" si="9"/>
        <v>0</v>
      </c>
      <c r="N20" s="66" t="str">
        <f t="shared" si="4"/>
        <v>Non-Preferred Specialty</v>
      </c>
      <c r="O20" s="94">
        <f>Asmpt!$B$118</f>
        <v>0</v>
      </c>
      <c r="P20" s="95">
        <f>Asmpt!$B$119</f>
        <v>0</v>
      </c>
      <c r="Q20" s="94">
        <f>Asmpt!$B$120</f>
        <v>0</v>
      </c>
      <c r="R20" s="95">
        <f>Asmpt!$B$121</f>
        <v>0</v>
      </c>
      <c r="S20" s="96">
        <f>IF(Asmpt!$B$122=0,0,Asmpt!$B$47)</f>
        <v>0.3</v>
      </c>
      <c r="T20" s="89">
        <f>Asmpt!$B$51</f>
        <v>1</v>
      </c>
      <c r="U20" s="93"/>
      <c r="V20" s="97">
        <f>IF(E20=0,0,
MIN(
$O20*MAX(E20-CEILING($Q20+$P20*MIN($O$32-SUM(W$9:W19),$P$32-SUM(W$9:W19,$U$35:U$35))/(F20/E20),1),0),
MAX(0,$O$33-SUMPRODUCT($T$9:$T19,V$9:V19)-SUM(W$9:X19)),
MAX(0,$P$33-SUM($U$33:U$33)-SUMPRODUCT($T$9:$T19,V$9:V19)-SUM(W$9:X19))
)
)</f>
        <v>0</v>
      </c>
      <c r="W20" s="97">
        <f>MIN(
$R20*MAX(F20-V20-MIN(F20,$Q20),0),
MAX(0,$O$32-SUM(W$9:W19)),
MAX(0,$P$32-SUM($U$35:U$35)-SUM(W$9:W19)),
MAX(0,$O$33-SUMPRODUCT($T$9:$T20,V$9:V20)-SUM(W$9:X19)),
MAX(0,$P$33-SUM($U$33:U$33)-SUMPRODUCT($T$9:$T20,V$9:V20)-SUM(W$9:X19))
)</f>
        <v>0</v>
      </c>
      <c r="X20" s="97">
        <f>MIN(
$S20*MAX(F20-$Q20-V20-W20,0),
MAX(0,$O$33-SUMPRODUCT($T$9:$T20,V$9:V20)-SUM(W$9:W20)-SUM(X$9:X19)),
MAX(0,$P$33-SUM($U$33:U$33)-SUMPRODUCT($T$9:$T20,V$9:V20)-SUM(W$9:W20)-SUM(X$9:X19))
)</f>
        <v>0</v>
      </c>
      <c r="Y20" s="97">
        <f>IF(H20=0,0,
MIN(
$O20*MAX(H20-CEILING($Q20+$P20*MIN($O$32-SUM(Z$9:Z19),$P$32-SUM(Z$9:Z19,$U$35:X$35))/(I20/H20),1),0),
MAX(0,$O$33-SUMPRODUCT($T$9:$T19,Y$9:Y19)-SUM(Z$9:AA19)),
MAX(0,$P$33-SUM($U$33:X$33)-SUMPRODUCT($T$9:$T19,Y$9:Y19)-SUM(Z$9:AA19))
)
)</f>
        <v>0</v>
      </c>
      <c r="Z20" s="97">
        <f>MIN(
$R20*MAX(I20-Y20-MIN(I20,$Q20),0),
MAX(0,$O$32-SUM(Z$9:Z19)),
MAX(0,$P$32-SUM($U$35:X$35)-SUM(Z$9:Z19)),
MAX(0,$O$33-SUMPRODUCT($T$9:$T20,Y$9:Y20)-SUM(Z$9:AA19)),
MAX(0,$P$33-SUM($U$33:X$33)-SUMPRODUCT($T$9:$T20,Y$9:Y20)-SUM(Z$9:AA19))
)</f>
        <v>0</v>
      </c>
      <c r="AA20" s="97">
        <f>MIN(
$S20*MAX(I20-$Q20-Y20-Z20,0),
MAX(0,$O$33-SUMPRODUCT($T$9:$T20,Y$9:Y20)-SUM(Z$9:Z20)-SUM(AA$9:AA19)),
MAX(0,$P$33-SUM($U$33:X$33)-SUMPRODUCT($T$9:$T20,Y$9:Y20)-SUM(Z$9:Z20)-SUM(AA$9:AA19))
)</f>
        <v>0</v>
      </c>
      <c r="AB20" s="97">
        <f>IF(K20=0,0,
MIN(
$O20*MAX(K20-CEILING($Q20+$P20*MIN($O$32-SUM(AC$9:AC19),$P$32-SUM(AC$9:AC19,$U$35:AA$35))/(L20/K20),1),0),
MAX(0,$O$33-SUMPRODUCT($T$9:$T19,AB$9:AB19)-SUM(AC$9:AD19)),
MAX(0,$P$33-SUM($U$33:AA$33)-SUMPRODUCT($T$9:$T19,AB$9:AB19)-SUM(AC$9:AD19))
)
)</f>
        <v>0</v>
      </c>
      <c r="AC20" s="97">
        <f>MIN(
$R20*MAX(L20-AB20-MIN(L20,$Q20),0),
MAX(0,$O$32-SUM(AC$9:AC19)),
MAX(0,$P$32-SUM($U$35:AA$35)-SUM(AC$9:AC19)),
MAX(0,$O$33-SUMPRODUCT($T$9:$T20,AB$9:AB20)-SUM(AC$9:AD19)),
MAX(0,$P$33-SUM($U$33:AA$33)-SUMPRODUCT($T$9:$T20,AB$9:AB20)-SUM(AC$9:AD19))
)</f>
        <v>0</v>
      </c>
      <c r="AD20" s="97">
        <f>MIN(
$S20*MAX(L20-$Q20-AB20-AC20,0),
MAX(0,$O$33-SUMPRODUCT($T$9:$T20,AB$9:AB20)-SUM(AC$9:AC20)-SUM(AD$9:AD19)),
MAX(0,$P$33-SUM($U$33:AA$33)-SUMPRODUCT($T$9:$T20,AB$9:AB20)-SUM(AC$9:AC20)-SUM(AD$9:AD19))
)</f>
        <v>0</v>
      </c>
      <c r="AE20" s="97">
        <f t="shared" si="7"/>
        <v>0</v>
      </c>
    </row>
    <row r="21" spans="1:31" s="66" customFormat="1" ht="17.100000000000001" customHeight="1">
      <c r="A21" s="92" t="s">
        <v>217</v>
      </c>
      <c r="B21" s="90">
        <f>'Cost Estimator'!G23</f>
        <v>0</v>
      </c>
      <c r="C21" s="91">
        <f>B21*Asmpt!$B29</f>
        <v>0</v>
      </c>
      <c r="E21" s="90">
        <f t="shared" si="5"/>
        <v>0</v>
      </c>
      <c r="F21" s="91">
        <f t="shared" si="0"/>
        <v>0</v>
      </c>
      <c r="G21" s="92"/>
      <c r="H21" s="90">
        <f t="shared" si="6"/>
        <v>0</v>
      </c>
      <c r="I21" s="91">
        <f t="shared" si="8"/>
        <v>0</v>
      </c>
      <c r="J21" s="92"/>
      <c r="K21" s="93">
        <f t="shared" si="2"/>
        <v>0</v>
      </c>
      <c r="L21" s="91">
        <f t="shared" si="9"/>
        <v>0</v>
      </c>
      <c r="N21" s="66" t="str">
        <f t="shared" si="4"/>
        <v>Mail Order Preferred Generic</v>
      </c>
      <c r="O21" s="94">
        <f>Asmpt!$B$124</f>
        <v>25</v>
      </c>
      <c r="P21" s="95">
        <f>Asmpt!$B$125</f>
        <v>0</v>
      </c>
      <c r="Q21" s="94">
        <f>Asmpt!$B$126</f>
        <v>0</v>
      </c>
      <c r="R21" s="95">
        <f>Asmpt!$B$127</f>
        <v>0</v>
      </c>
      <c r="S21" s="96">
        <f>IF(Asmpt!$B$128=0,0,Asmpt!$B$47)</f>
        <v>0</v>
      </c>
      <c r="T21" s="89">
        <f>Asmpt!$B$51</f>
        <v>1</v>
      </c>
      <c r="U21" s="93"/>
      <c r="V21" s="97">
        <f>IF(E21=0,0,
MIN(
$O21*MAX(E21-CEILING($Q21+$P21*MIN($O$32-SUM(W$9:W20),$P$32-SUM(W$9:W20,$U$35:U$35))/(F21/E21),1),0),
MAX(0,$O$33-SUMPRODUCT($T$9:$T20,V$9:V20)-SUM(W$9:X20)),
MAX(0,$P$33-SUM($U$33:U$33)-SUMPRODUCT($T$9:$T20,V$9:V20)-SUM(W$9:X20))
)
)</f>
        <v>0</v>
      </c>
      <c r="W21" s="97">
        <f>MIN(
$R21*MAX(F21-V21-MIN(F21,$Q21),0),
MAX(0,$O$32-SUM(W$9:W20)),
MAX(0,$P$32-SUM($U$35:U$35)-SUM(W$9:W20)),
MAX(0,$O$33-SUMPRODUCT($T$9:$T21,V$9:V21)-SUM(W$9:X20)),
MAX(0,$P$33-SUM($U$33:U$33)-SUMPRODUCT($T$9:$T21,V$9:V21)-SUM(W$9:X20))
)</f>
        <v>0</v>
      </c>
      <c r="X21" s="97">
        <f>MIN(
$S21*MAX(F21-$Q21-V21-W21,0),
MAX(0,$O$33-SUMPRODUCT($T$9:$T21,V$9:V21)-SUM(W$9:W21)-SUM(X$9:X20)),
MAX(0,$P$33-SUM($U$33:U$33)-SUMPRODUCT($T$9:$T21,V$9:V21)-SUM(W$9:W21)-SUM(X$9:X20))
)</f>
        <v>0</v>
      </c>
      <c r="Y21" s="97">
        <f>IF(H21=0,0,
MIN(
$O21*MAX(H21-CEILING($Q21+$P21*MIN($O$32-SUM(Z$9:Z20),$P$32-SUM(Z$9:Z20,$U$35:X$35))/(I21/H21),1),0),
MAX(0,$O$33-SUMPRODUCT($T$9:$T20,Y$9:Y20)-SUM(Z$9:AA20)),
MAX(0,$P$33-SUM($U$33:X$33)-SUMPRODUCT($T$9:$T20,Y$9:Y20)-SUM(Z$9:AA20))
)
)</f>
        <v>0</v>
      </c>
      <c r="Z21" s="97">
        <f>MIN(
$R21*MAX(I21-Y21-MIN(I21,$Q21),0),
MAX(0,$O$32-SUM(Z$9:Z20)),
MAX(0,$P$32-SUM($U$35:X$35)-SUM(Z$9:Z20)),
MAX(0,$O$33-SUMPRODUCT($T$9:$T21,Y$9:Y21)-SUM(Z$9:AA20)),
MAX(0,$P$33-SUM($U$33:X$33)-SUMPRODUCT($T$9:$T21,Y$9:Y21)-SUM(Z$9:AA20))
)</f>
        <v>0</v>
      </c>
      <c r="AA21" s="97">
        <f>MIN(
$S21*MAX(I21-$Q21-Y21-Z21,0),
MAX(0,$O$33-SUMPRODUCT($T$9:$T21,Y$9:Y21)-SUM(Z$9:Z21)-SUM(AA$9:AA20)),
MAX(0,$P$33-SUM($U$33:X$33)-SUMPRODUCT($T$9:$T21,Y$9:Y21)-SUM(Z$9:Z21)-SUM(AA$9:AA20))
)</f>
        <v>0</v>
      </c>
      <c r="AB21" s="97">
        <f>IF(K21=0,0,
MIN(
$O21*MAX(K21-CEILING($Q21+$P21*MIN($O$32-SUM(AC$9:AC20),$P$32-SUM(AC$9:AC20,$U$35:AA$35))/(L21/K21),1),0),
MAX(0,$O$33-SUMPRODUCT($T$9:$T20,AB$9:AB20)-SUM(AC$9:AD20)),
MAX(0,$P$33-SUM($U$33:AA$33)-SUMPRODUCT($T$9:$T20,AB$9:AB20)-SUM(AC$9:AD20))
)
)</f>
        <v>0</v>
      </c>
      <c r="AC21" s="97">
        <f>MIN(
$R21*MAX(L21-AB21-MIN(L21,$Q21),0),
MAX(0,$O$32-SUM(AC$9:AC20)),
MAX(0,$P$32-SUM($U$35:AA$35)-SUM(AC$9:AC20)),
MAX(0,$O$33-SUMPRODUCT($T$9:$T21,AB$9:AB21)-SUM(AC$9:AD20)),
MAX(0,$P$33-SUM($U$33:AA$33)-SUMPRODUCT($T$9:$T21,AB$9:AB21)-SUM(AC$9:AD20))
)</f>
        <v>0</v>
      </c>
      <c r="AD21" s="97">
        <f>MIN(
$S21*MAX(L21-$Q21-AB21-AC21,0),
MAX(0,$O$33-SUMPRODUCT($T$9:$T21,AB$9:AB21)-SUM(AC$9:AC21)-SUM(AD$9:AD20)),
MAX(0,$P$33-SUM($U$33:AA$33)-SUMPRODUCT($T$9:$T21,AB$9:AB21)-SUM(AC$9:AC21)-SUM(AD$9:AD20))
)</f>
        <v>0</v>
      </c>
      <c r="AE21" s="97">
        <f t="shared" si="7"/>
        <v>0</v>
      </c>
    </row>
    <row r="22" spans="1:31" s="66" customFormat="1" ht="17.100000000000001" customHeight="1">
      <c r="A22" s="92" t="s">
        <v>218</v>
      </c>
      <c r="B22" s="90">
        <f>'Cost Estimator'!G24</f>
        <v>0</v>
      </c>
      <c r="C22" s="91">
        <f>B22*Asmpt!$B30</f>
        <v>0</v>
      </c>
      <c r="E22" s="90">
        <f t="shared" si="5"/>
        <v>0</v>
      </c>
      <c r="F22" s="91">
        <f t="shared" si="0"/>
        <v>0</v>
      </c>
      <c r="G22" s="92"/>
      <c r="H22" s="90">
        <f t="shared" si="6"/>
        <v>0</v>
      </c>
      <c r="I22" s="91">
        <f t="shared" si="8"/>
        <v>0</v>
      </c>
      <c r="J22" s="92"/>
      <c r="K22" s="93">
        <f t="shared" si="2"/>
        <v>0</v>
      </c>
      <c r="L22" s="91">
        <f t="shared" si="9"/>
        <v>0</v>
      </c>
      <c r="N22" s="66" t="str">
        <f t="shared" si="4"/>
        <v>Mail Order Non-Preferred Generic</v>
      </c>
      <c r="O22" s="94">
        <f>Asmpt!$B$130</f>
        <v>0</v>
      </c>
      <c r="P22" s="95">
        <f>Asmpt!$B$131</f>
        <v>0</v>
      </c>
      <c r="Q22" s="94">
        <f>Asmpt!$B$132</f>
        <v>0</v>
      </c>
      <c r="R22" s="95">
        <f>Asmpt!$B$133</f>
        <v>0</v>
      </c>
      <c r="S22" s="96">
        <f>IF(Asmpt!$B$134=0,0,Asmpt!$B$47)</f>
        <v>0.3</v>
      </c>
      <c r="T22" s="89">
        <f>Asmpt!$B$51</f>
        <v>1</v>
      </c>
      <c r="U22" s="93"/>
      <c r="V22" s="97">
        <f>IF(E22=0,0,
MIN(
$O22*MAX(E22-CEILING($Q22+$P22*MIN($O$32-SUM(W$9:W21),$P$32-SUM(W$9:W21,$U$35:U$35))/(F22/E22),1),0),
MAX(0,$O$33-SUMPRODUCT($T$9:$T21,V$9:V21)-SUM(W$9:X21)),
MAX(0,$P$33-SUM($U$33:U$33)-SUMPRODUCT($T$9:$T21,V$9:V21)-SUM(W$9:X21))
)
)</f>
        <v>0</v>
      </c>
      <c r="W22" s="97">
        <f>MIN(
$R22*MAX(F22-V22-MIN(F22,$Q22),0),
MAX(0,$O$32-SUM(W$9:W21)),
MAX(0,$P$32-SUM($U$35:U$35)-SUM(W$9:W21)),
MAX(0,$O$33-SUMPRODUCT($T$9:$T22,V$9:V22)-SUM(W$9:X21)),
MAX(0,$P$33-SUM($U$33:U$33)-SUMPRODUCT($T$9:$T22,V$9:V22)-SUM(W$9:X21))
)</f>
        <v>0</v>
      </c>
      <c r="X22" s="97">
        <f>MIN(
$S22*MAX(F22-$Q22-V22-W22,0),
MAX(0,$O$33-SUMPRODUCT($T$9:$T22,V$9:V22)-SUM(W$9:W22)-SUM(X$9:X21)),
MAX(0,$P$33-SUM($U$33:U$33)-SUMPRODUCT($T$9:$T22,V$9:V22)-SUM(W$9:W22)-SUM(X$9:X21))
)</f>
        <v>0</v>
      </c>
      <c r="Y22" s="97">
        <f>IF(H22=0,0,
MIN(
$O22*MAX(H22-CEILING($Q22+$P22*MIN($O$32-SUM(Z$9:Z21),$P$32-SUM(Z$9:Z21,$U$35:X$35))/(I22/H22),1),0),
MAX(0,$O$33-SUMPRODUCT($T$9:$T21,Y$9:Y21)-SUM(Z$9:AA21)),
MAX(0,$P$33-SUM($U$33:X$33)-SUMPRODUCT($T$9:$T21,Y$9:Y21)-SUM(Z$9:AA21))
)
)</f>
        <v>0</v>
      </c>
      <c r="Z22" s="97">
        <f>MIN(
$R22*MAX(I22-Y22-MIN(I22,$Q22),0),
MAX(0,$O$32-SUM(Z$9:Z21)),
MAX(0,$P$32-SUM($U$35:X$35)-SUM(Z$9:Z21)),
MAX(0,$O$33-SUMPRODUCT($T$9:$T22,Y$9:Y22)-SUM(Z$9:AA21)),
MAX(0,$P$33-SUM($U$33:X$33)-SUMPRODUCT($T$9:$T22,Y$9:Y22)-SUM(Z$9:AA21))
)</f>
        <v>0</v>
      </c>
      <c r="AA22" s="97">
        <f>MIN(
$S22*MAX(I22-$Q22-Y22-Z22,0),
MAX(0,$O$33-SUMPRODUCT($T$9:$T22,Y$9:Y22)-SUM(Z$9:Z22)-SUM(AA$9:AA21)),
MAX(0,$P$33-SUM($U$33:X$33)-SUMPRODUCT($T$9:$T22,Y$9:Y22)-SUM(Z$9:Z22)-SUM(AA$9:AA21))
)</f>
        <v>0</v>
      </c>
      <c r="AB22" s="97">
        <f>IF(K22=0,0,
MIN(
$O22*MAX(K22-CEILING($Q22+$P22*MIN($O$32-SUM(AC$9:AC21),$P$32-SUM(AC$9:AC21,$U$35:AA$35))/(L22/K22),1),0),
MAX(0,$O$33-SUMPRODUCT($T$9:$T21,AB$9:AB21)-SUM(AC$9:AD21)),
MAX(0,$P$33-SUM($U$33:AA$33)-SUMPRODUCT($T$9:$T21,AB$9:AB21)-SUM(AC$9:AD21))
)
)</f>
        <v>0</v>
      </c>
      <c r="AC22" s="97">
        <f>MIN(
$R22*MAX(L22-AB22-MIN(L22,$Q22),0),
MAX(0,$O$32-SUM(AC$9:AC21)),
MAX(0,$P$32-SUM($U$35:AA$35)-SUM(AC$9:AC21)),
MAX(0,$O$33-SUMPRODUCT($T$9:$T22,AB$9:AB22)-SUM(AC$9:AD21)),
MAX(0,$P$33-SUM($U$33:AA$33)-SUMPRODUCT($T$9:$T22,AB$9:AB22)-SUM(AC$9:AD21))
)</f>
        <v>0</v>
      </c>
      <c r="AD22" s="97">
        <f>MIN(
$S22*MAX(L22-$Q22-AB22-AC22,0),
MAX(0,$O$33-SUMPRODUCT($T$9:$T22,AB$9:AB22)-SUM(AC$9:AC22)-SUM(AD$9:AD21)),
MAX(0,$P$33-SUM($U$33:AA$33)-SUMPRODUCT($T$9:$T22,AB$9:AB22)-SUM(AC$9:AC22)-SUM(AD$9:AD21))
)</f>
        <v>0</v>
      </c>
      <c r="AE22" s="97">
        <f t="shared" si="7"/>
        <v>0</v>
      </c>
    </row>
    <row r="23" spans="1:31" s="66" customFormat="1" ht="17.100000000000001" customHeight="1">
      <c r="A23" s="92" t="s">
        <v>114</v>
      </c>
      <c r="B23" s="90">
        <f>'Cost Estimator'!G25</f>
        <v>0</v>
      </c>
      <c r="C23" s="91">
        <f>B23*Asmpt!$B31</f>
        <v>0</v>
      </c>
      <c r="E23" s="90">
        <f t="shared" si="5"/>
        <v>0</v>
      </c>
      <c r="F23" s="91">
        <f t="shared" si="0"/>
        <v>0</v>
      </c>
      <c r="G23" s="92"/>
      <c r="H23" s="90">
        <f t="shared" si="6"/>
        <v>0</v>
      </c>
      <c r="I23" s="91">
        <f t="shared" si="8"/>
        <v>0</v>
      </c>
      <c r="J23" s="92"/>
      <c r="K23" s="93">
        <f t="shared" si="2"/>
        <v>0</v>
      </c>
      <c r="L23" s="91">
        <f t="shared" si="9"/>
        <v>0</v>
      </c>
      <c r="N23" s="66" t="str">
        <f t="shared" si="4"/>
        <v>Mail Order Preferred Brand</v>
      </c>
      <c r="O23" s="94">
        <f>Asmpt!$B$136</f>
        <v>75</v>
      </c>
      <c r="P23" s="95">
        <f>Asmpt!$B$137</f>
        <v>0</v>
      </c>
      <c r="Q23" s="94">
        <f>Asmpt!$B$138</f>
        <v>0</v>
      </c>
      <c r="R23" s="95">
        <f>Asmpt!$B$139</f>
        <v>0</v>
      </c>
      <c r="S23" s="96">
        <f>IF(Asmpt!$B$140=0,0,Asmpt!$B$47)</f>
        <v>0</v>
      </c>
      <c r="T23" s="89">
        <f>Asmpt!$B$51</f>
        <v>1</v>
      </c>
      <c r="U23" s="93"/>
      <c r="V23" s="97">
        <f>IF(E23=0,0,
MIN(
$O23*MAX(E23-CEILING($Q23+$P23*MIN($O$32-SUM(W$9:W22),$P$32-SUM(W$9:W22,$U$35:U$35))/(F23/E23),1),0),
MAX(0,$O$33-SUMPRODUCT($T$9:$T22,V$9:V22)-SUM(W$9:X22)),
MAX(0,$P$33-SUM($U$33:U$33)-SUMPRODUCT($T$9:$T22,V$9:V22)-SUM(W$9:X22))
)
)</f>
        <v>0</v>
      </c>
      <c r="W23" s="97">
        <f>MIN(
$R23*MAX(F23-V23-MIN(F23,$Q23),0),
MAX(0,$O$32-SUM(W$9:W22)),
MAX(0,$P$32-SUM($U$35:U$35)-SUM(W$9:W22)),
MAX(0,$O$33-SUMPRODUCT($T$9:$T23,V$9:V23)-SUM(W$9:X22)),
MAX(0,$P$33-SUM($U$33:U$33)-SUMPRODUCT($T$9:$T23,V$9:V23)-SUM(W$9:X22))
)</f>
        <v>0</v>
      </c>
      <c r="X23" s="97">
        <f>MIN(
$S23*MAX(F23-$Q23-V23-W23,0),
MAX(0,$O$33-SUMPRODUCT($T$9:$T23,V$9:V23)-SUM(W$9:W23)-SUM(X$9:X22)),
MAX(0,$P$33-SUM($U$33:U$33)-SUMPRODUCT($T$9:$T23,V$9:V23)-SUM(W$9:W23)-SUM(X$9:X22))
)</f>
        <v>0</v>
      </c>
      <c r="Y23" s="97">
        <f>IF(H23=0,0,
MIN(
$O23*MAX(H23-CEILING($Q23+$P23*MIN($O$32-SUM(Z$9:Z22),$P$32-SUM(Z$9:Z22,$U$35:X$35))/(I23/H23),1),0),
MAX(0,$O$33-SUMPRODUCT($T$9:$T22,Y$9:Y22)-SUM(Z$9:AA22)),
MAX(0,$P$33-SUM($U$33:X$33)-SUMPRODUCT($T$9:$T22,Y$9:Y22)-SUM(Z$9:AA22))
)
)</f>
        <v>0</v>
      </c>
      <c r="Z23" s="97">
        <f>MIN(
$R23*MAX(I23-Y23-MIN(I23,$Q23),0),
MAX(0,$O$32-SUM(Z$9:Z22)),
MAX(0,$P$32-SUM($U$35:X$35)-SUM(Z$9:Z22)),
MAX(0,$O$33-SUMPRODUCT($T$9:$T23,Y$9:Y23)-SUM(Z$9:AA22)),
MAX(0,$P$33-SUM($U$33:X$33)-SUMPRODUCT($T$9:$T23,Y$9:Y23)-SUM(Z$9:AA22))
)</f>
        <v>0</v>
      </c>
      <c r="AA23" s="97">
        <f>MIN(
$S23*MAX(I23-$Q23-Y23-Z23,0),
MAX(0,$O$33-SUMPRODUCT($T$9:$T23,Y$9:Y23)-SUM(Z$9:Z23)-SUM(AA$9:AA22)),
MAX(0,$P$33-SUM($U$33:X$33)-SUMPRODUCT($T$9:$T23,Y$9:Y23)-SUM(Z$9:Z23)-SUM(AA$9:AA22))
)</f>
        <v>0</v>
      </c>
      <c r="AB23" s="97">
        <f>IF(K23=0,0,
MIN(
$O23*MAX(K23-CEILING($Q23+$P23*MIN($O$32-SUM(AC$9:AC22),$P$32-SUM(AC$9:AC22,$U$35:AA$35))/(L23/K23),1),0),
MAX(0,$O$33-SUMPRODUCT($T$9:$T22,AB$9:AB22)-SUM(AC$9:AD22)),
MAX(0,$P$33-SUM($U$33:AA$33)-SUMPRODUCT($T$9:$T22,AB$9:AB22)-SUM(AC$9:AD22))
)
)</f>
        <v>0</v>
      </c>
      <c r="AC23" s="97">
        <f>MIN(
$R23*MAX(L23-AB23-MIN(L23,$Q23),0),
MAX(0,$O$32-SUM(AC$9:AC22)),
MAX(0,$P$32-SUM($U$35:AA$35)-SUM(AC$9:AC22)),
MAX(0,$O$33-SUMPRODUCT($T$9:$T23,AB$9:AB23)-SUM(AC$9:AD22)),
MAX(0,$P$33-SUM($U$33:AA$33)-SUMPRODUCT($T$9:$T23,AB$9:AB23)-SUM(AC$9:AD22))
)</f>
        <v>0</v>
      </c>
      <c r="AD23" s="97">
        <f>MIN(
$S23*MAX(L23-$Q23-AB23-AC23,0),
MAX(0,$O$33-SUMPRODUCT($T$9:$T23,AB$9:AB23)-SUM(AC$9:AC23)-SUM(AD$9:AD22)),
MAX(0,$P$33-SUM($U$33:AA$33)-SUMPRODUCT($T$9:$T23,AB$9:AB23)-SUM(AC$9:AC23)-SUM(AD$9:AD22))
)</f>
        <v>0</v>
      </c>
      <c r="AE23" s="97">
        <f t="shared" si="7"/>
        <v>0</v>
      </c>
    </row>
    <row r="24" spans="1:31" s="66" customFormat="1" ht="17.100000000000001" customHeight="1">
      <c r="A24" s="92" t="s">
        <v>115</v>
      </c>
      <c r="B24" s="90">
        <f>'Cost Estimator'!G26</f>
        <v>0</v>
      </c>
      <c r="C24" s="91">
        <f>B24*Asmpt!$B32</f>
        <v>0</v>
      </c>
      <c r="E24" s="90">
        <f t="shared" si="5"/>
        <v>0</v>
      </c>
      <c r="F24" s="91">
        <f t="shared" si="0"/>
        <v>0</v>
      </c>
      <c r="G24" s="92"/>
      <c r="H24" s="90">
        <f t="shared" si="6"/>
        <v>0</v>
      </c>
      <c r="I24" s="91">
        <f t="shared" si="8"/>
        <v>0</v>
      </c>
      <c r="J24" s="92"/>
      <c r="K24" s="93">
        <f t="shared" si="2"/>
        <v>0</v>
      </c>
      <c r="L24" s="91">
        <f t="shared" si="9"/>
        <v>0</v>
      </c>
      <c r="N24" s="66" t="str">
        <f t="shared" si="4"/>
        <v>Mail Order Non-Preferred Brand</v>
      </c>
      <c r="O24" s="94">
        <f>Asmpt!$B$142</f>
        <v>0</v>
      </c>
      <c r="P24" s="95">
        <f>Asmpt!$B$143</f>
        <v>0</v>
      </c>
      <c r="Q24" s="94">
        <f>Asmpt!$B$144</f>
        <v>0</v>
      </c>
      <c r="R24" s="95">
        <f>Asmpt!$B$145</f>
        <v>0</v>
      </c>
      <c r="S24" s="96">
        <f>IF(Asmpt!$B$146=0,0,Asmpt!$B$47)</f>
        <v>0.3</v>
      </c>
      <c r="T24" s="89">
        <f>Asmpt!$B$51</f>
        <v>1</v>
      </c>
      <c r="U24" s="93"/>
      <c r="V24" s="97">
        <f>IF(E24=0,0,
MIN(
$O24*MAX(E24-CEILING($Q24+$P24*MIN($O$32-SUM(W$9:W23),$P$32-SUM(W$9:W23,$U$35:U$35))/(F24/E24),1),0),
MAX(0,$O$33-SUMPRODUCT($T$9:$T23,V$9:V23)-SUM(W$9:X23)),
MAX(0,$P$33-SUM($U$33:U$33)-SUMPRODUCT($T$9:$T23,V$9:V23)-SUM(W$9:X23))
)
)</f>
        <v>0</v>
      </c>
      <c r="W24" s="97">
        <f>MIN(
$R24*MAX(F24-V24-MIN(F24,$Q24),0),
MAX(0,$O$32-SUM(W$9:W23)),
MAX(0,$P$32-SUM($U$35:U$35)-SUM(W$9:W23)),
MAX(0,$O$33-SUMPRODUCT($T$9:$T24,V$9:V24)-SUM(W$9:X23)),
MAX(0,$P$33-SUM($U$33:U$33)-SUMPRODUCT($T$9:$T24,V$9:V24)-SUM(W$9:X23))
)</f>
        <v>0</v>
      </c>
      <c r="X24" s="97">
        <f>MIN(
$S24*MAX(F24-$Q24-V24-W24,0),
MAX(0,$O$33-SUMPRODUCT($T$9:$T24,V$9:V24)-SUM(W$9:W24)-SUM(X$9:X23)),
MAX(0,$P$33-SUM($U$33:U$33)-SUMPRODUCT($T$9:$T24,V$9:V24)-SUM(W$9:W24)-SUM(X$9:X23))
)</f>
        <v>0</v>
      </c>
      <c r="Y24" s="97">
        <f>IF(H24=0,0,
MIN(
$O24*MAX(H24-CEILING($Q24+$P24*MIN($O$32-SUM(Z$9:Z23),$P$32-SUM(Z$9:Z23,$U$35:X$35))/(I24/H24),1),0),
MAX(0,$O$33-SUMPRODUCT($T$9:$T23,Y$9:Y23)-SUM(Z$9:AA23)),
MAX(0,$P$33-SUM($U$33:X$33)-SUMPRODUCT($T$9:$T23,Y$9:Y23)-SUM(Z$9:AA23))
)
)</f>
        <v>0</v>
      </c>
      <c r="Z24" s="97">
        <f>MIN(
$R24*MAX(I24-Y24-MIN(I24,$Q24),0),
MAX(0,$O$32-SUM(Z$9:Z23)),
MAX(0,$P$32-SUM($U$35:X$35)-SUM(Z$9:Z23)),
MAX(0,$O$33-SUMPRODUCT($T$9:$T24,Y$9:Y24)-SUM(Z$9:AA23)),
MAX(0,$P$33-SUM($U$33:X$33)-SUMPRODUCT($T$9:$T24,Y$9:Y24)-SUM(Z$9:AA23))
)</f>
        <v>0</v>
      </c>
      <c r="AA24" s="97">
        <f>MIN(
$S24*MAX(I24-$Q24-Y24-Z24,0),
MAX(0,$O$33-SUMPRODUCT($T$9:$T24,Y$9:Y24)-SUM(Z$9:Z24)-SUM(AA$9:AA23)),
MAX(0,$P$33-SUM($U$33:X$33)-SUMPRODUCT($T$9:$T24,Y$9:Y24)-SUM(Z$9:Z24)-SUM(AA$9:AA23))
)</f>
        <v>0</v>
      </c>
      <c r="AB24" s="97">
        <f>IF(K24=0,0,
MIN(
$O24*MAX(K24-CEILING($Q24+$P24*MIN($O$32-SUM(AC$9:AC23),$P$32-SUM(AC$9:AC23,$U$35:AA$35))/(L24/K24),1),0),
MAX(0,$O$33-SUMPRODUCT($T$9:$T23,AB$9:AB23)-SUM(AC$9:AD23)),
MAX(0,$P$33-SUM($U$33:AA$33)-SUMPRODUCT($T$9:$T23,AB$9:AB23)-SUM(AC$9:AD23))
)
)</f>
        <v>0</v>
      </c>
      <c r="AC24" s="97">
        <f>MIN(
$R24*MAX(L24-AB24-MIN(L24,$Q24),0),
MAX(0,$O$32-SUM(AC$9:AC23)),
MAX(0,$P$32-SUM($U$35:AA$35)-SUM(AC$9:AC23)),
MAX(0,$O$33-SUMPRODUCT($T$9:$T24,AB$9:AB24)-SUM(AC$9:AD23)),
MAX(0,$P$33-SUM($U$33:AA$33)-SUMPRODUCT($T$9:$T24,AB$9:AB24)-SUM(AC$9:AD23))
)</f>
        <v>0</v>
      </c>
      <c r="AD24" s="97">
        <f>MIN(
$S24*MAX(L24-$Q24-AB24-AC24,0),
MAX(0,$O$33-SUMPRODUCT($T$9:$T24,AB$9:AB24)-SUM(AC$9:AC24)-SUM(AD$9:AD23)),
MAX(0,$P$33-SUM($U$33:AA$33)-SUMPRODUCT($T$9:$T24,AB$9:AB24)-SUM(AC$9:AC24)-SUM(AD$9:AD23))
)</f>
        <v>0</v>
      </c>
      <c r="AE24" s="97">
        <f t="shared" si="7"/>
        <v>0</v>
      </c>
    </row>
    <row r="25" spans="1:31" s="66" customFormat="1" ht="17.100000000000001" customHeight="1">
      <c r="A25" s="92" t="s">
        <v>116</v>
      </c>
      <c r="B25" s="90">
        <f>'Cost Estimator'!G35</f>
        <v>0</v>
      </c>
      <c r="C25" s="91">
        <f>B25*Asmpt!$B33</f>
        <v>0</v>
      </c>
      <c r="E25" s="90">
        <f t="shared" si="5"/>
        <v>0</v>
      </c>
      <c r="F25" s="91">
        <f t="shared" ref="F25:F27" si="10">IF($B25=0,0,$C25/$B25*E25)</f>
        <v>0</v>
      </c>
      <c r="G25" s="92"/>
      <c r="H25" s="90">
        <f t="shared" si="6"/>
        <v>0</v>
      </c>
      <c r="I25" s="91">
        <f t="shared" ref="I25:I27" si="11">IF($B25=0,0,$C25/$B25*H25)</f>
        <v>0</v>
      </c>
      <c r="J25" s="92"/>
      <c r="K25" s="93">
        <f t="shared" si="2"/>
        <v>0</v>
      </c>
      <c r="L25" s="91">
        <f t="shared" ref="L25:L27" si="12">IF($B25=0,0,$C25/$B25*K25)</f>
        <v>0</v>
      </c>
      <c r="N25" s="66" t="str">
        <f t="shared" si="4"/>
        <v>Lab and X-Ray</v>
      </c>
      <c r="O25" s="94">
        <f>Asmpt!$B$148</f>
        <v>0</v>
      </c>
      <c r="P25" s="95">
        <f>Asmpt!$B$149</f>
        <v>0</v>
      </c>
      <c r="Q25" s="94">
        <f>Asmpt!$B$150</f>
        <v>0</v>
      </c>
      <c r="R25" s="95">
        <f>Asmpt!$B$151</f>
        <v>1</v>
      </c>
      <c r="S25" s="96">
        <f>IF(Asmpt!$B$152=0,0,Asmpt!$B$46)</f>
        <v>0.2</v>
      </c>
      <c r="T25" s="89">
        <f>Asmpt!$B$51</f>
        <v>1</v>
      </c>
      <c r="U25" s="93"/>
      <c r="V25" s="97">
        <f>IF(E25=0,0,
MIN(
$O25*MAX(E25-CEILING($Q25+$P25*MIN($O$32-SUM(W$9:W24),$P$32-SUM(W$9:W24,$U$35:U$35))/(F25/E25),1),0),
MAX(0,$O$33-SUMPRODUCT($T$9:$T24,V$9:V24)-SUM(W$9:X24)),
MAX(0,$P$33-SUM($U$33:U$33)-SUMPRODUCT($T$9:$T24,V$9:V24)-SUM(W$9:X24))
)
)</f>
        <v>0</v>
      </c>
      <c r="W25" s="97">
        <f>MIN(
$R25*MAX(F25-V25-MIN(F25,$Q25),0),
MAX(0,$O$32-SUM(W$9:W24)),
MAX(0,$P$32-SUM($U$35:U$35)-SUM(W$9:W24)),
MAX(0,$O$33-SUMPRODUCT($T$9:$T25,V$9:V25)-SUM(W$9:X24)),
MAX(0,$P$33-SUM($U$33:U$33)-SUMPRODUCT($T$9:$T25,V$9:V25)-SUM(W$9:X24))
)</f>
        <v>0</v>
      </c>
      <c r="X25" s="97">
        <f>MIN(
$S25*MAX(F25-$Q25-V25-W25,0),
MAX(0,$O$33-SUMPRODUCT($T$9:$T25,V$9:V25)-SUM(W$9:W25)-SUM(X$9:X24)),
MAX(0,$P$33-SUM($U$33:U$33)-SUMPRODUCT($T$9:$T25,V$9:V25)-SUM(W$9:W25)-SUM(X$9:X24))
)</f>
        <v>0</v>
      </c>
      <c r="Y25" s="97">
        <f>IF(H25=0,0,
MIN(
$O25*MAX(H25-CEILING($Q25+$P25*MIN($O$32-SUM(Z$9:Z24),$P$32-SUM(Z$9:Z24,$U$35:X$35))/(I25/H25),1),0),
MAX(0,$O$33-SUMPRODUCT($T$9:$T24,Y$9:Y24)-SUM(Z$9:AA24)),
MAX(0,$P$33-SUM($U$33:X$33)-SUMPRODUCT($T$9:$T24,Y$9:Y24)-SUM(Z$9:AA24))
)
)</f>
        <v>0</v>
      </c>
      <c r="Z25" s="97">
        <f>MIN(
$R25*MAX(I25-Y25-MIN(I25,$Q25),0),
MAX(0,$O$32-SUM(Z$9:Z24)),
MAX(0,$P$32-SUM($U$35:X$35)-SUM(Z$9:Z24)),
MAX(0,$O$33-SUMPRODUCT($T$9:$T25,Y$9:Y25)-SUM(Z$9:AA24)),
MAX(0,$P$33-SUM($U$33:X$33)-SUMPRODUCT($T$9:$T25,Y$9:Y25)-SUM(Z$9:AA24))
)</f>
        <v>0</v>
      </c>
      <c r="AA25" s="97">
        <f>MIN(
$S25*MAX(I25-$Q25-Y25-Z25,0),
MAX(0,$O$33-SUMPRODUCT($T$9:$T25,Y$9:Y25)-SUM(Z$9:Z25)-SUM(AA$9:AA24)),
MAX(0,$P$33-SUM($U$33:X$33)-SUMPRODUCT($T$9:$T25,Y$9:Y25)-SUM(Z$9:Z25)-SUM(AA$9:AA24))
)</f>
        <v>0</v>
      </c>
      <c r="AB25" s="97">
        <f>IF(K25=0,0,
MIN(
$O25*MAX(K25-CEILING($Q25+$P25*MIN($O$32-SUM(AC$9:AC24),$P$32-SUM(AC$9:AC24,$U$35:AA$35))/(L25/K25),1),0),
MAX(0,$O$33-SUMPRODUCT($T$9:$T24,AB$9:AB24)-SUM(AC$9:AD24)),
MAX(0,$P$33-SUM($U$33:AA$33)-SUMPRODUCT($T$9:$T24,AB$9:AB24)-SUM(AC$9:AD24))
)
)</f>
        <v>0</v>
      </c>
      <c r="AC25" s="97">
        <f>MIN(
$R25*MAX(L25-AB25-MIN(L25,$Q25),0),
MAX(0,$O$32-SUM(AC$9:AC24)),
MAX(0,$P$32-SUM($U$35:AA$35)-SUM(AC$9:AC24)),
MAX(0,$O$33-SUMPRODUCT($T$9:$T25,AB$9:AB25)-SUM(AC$9:AD24)),
MAX(0,$P$33-SUM($U$33:AA$33)-SUMPRODUCT($T$9:$T25,AB$9:AB25)-SUM(AC$9:AD24))
)</f>
        <v>0</v>
      </c>
      <c r="AD25" s="97">
        <f>MIN(
$S25*MAX(L25-$Q25-AB25-AC25,0),
MAX(0,$O$33-SUMPRODUCT($T$9:$T25,AB$9:AB25)-SUM(AC$9:AC25)-SUM(AD$9:AD24)),
MAX(0,$P$33-SUM($U$33:AA$33)-SUMPRODUCT($T$9:$T25,AB$9:AB25)-SUM(AC$9:AC25)-SUM(AD$9:AD24))
)</f>
        <v>0</v>
      </c>
      <c r="AE25" s="97">
        <f t="shared" si="7"/>
        <v>0</v>
      </c>
    </row>
    <row r="26" spans="1:31" s="66" customFormat="1" ht="17.100000000000001" customHeight="1">
      <c r="A26" s="92" t="s">
        <v>225</v>
      </c>
      <c r="B26" s="90">
        <f>'Cost Estimator'!G36</f>
        <v>0</v>
      </c>
      <c r="C26" s="91">
        <f>B26*Asmpt!$B34</f>
        <v>0</v>
      </c>
      <c r="E26" s="90">
        <f t="shared" si="5"/>
        <v>0</v>
      </c>
      <c r="F26" s="91">
        <f t="shared" si="10"/>
        <v>0</v>
      </c>
      <c r="G26" s="92"/>
      <c r="H26" s="90">
        <f t="shared" si="6"/>
        <v>0</v>
      </c>
      <c r="I26" s="91">
        <f t="shared" si="11"/>
        <v>0</v>
      </c>
      <c r="J26" s="92"/>
      <c r="K26" s="93">
        <f t="shared" si="2"/>
        <v>0</v>
      </c>
      <c r="L26" s="91">
        <f t="shared" si="12"/>
        <v>0</v>
      </c>
      <c r="N26" s="66" t="str">
        <f t="shared" si="4"/>
        <v>Advanced Imaging</v>
      </c>
      <c r="O26" s="94">
        <f>Asmpt!$B$154</f>
        <v>0</v>
      </c>
      <c r="P26" s="95">
        <f>Asmpt!$B$155</f>
        <v>0</v>
      </c>
      <c r="Q26" s="94">
        <f>Asmpt!$B$156</f>
        <v>0</v>
      </c>
      <c r="R26" s="95">
        <f>Asmpt!$B$157</f>
        <v>1</v>
      </c>
      <c r="S26" s="96">
        <f>IF(Asmpt!$B$158=0,0,Asmpt!$B$46)</f>
        <v>0.2</v>
      </c>
      <c r="T26" s="89">
        <f>Asmpt!$B$51</f>
        <v>1</v>
      </c>
      <c r="U26" s="93"/>
      <c r="V26" s="97">
        <f>IF(E26=0,0,
MIN(
$O26*MAX(E26-CEILING($Q26+$P26*MIN($O$32-SUM(W$9:W25),$P$32-SUM(W$9:W25,$U$35:U$35))/(F26/E26),1),0),
MAX(0,$O$33-SUMPRODUCT($T$9:$T25,V$9:V25)-SUM(W$9:X25)),
MAX(0,$P$33-SUM($U$33:U$33)-SUMPRODUCT($T$9:$T25,V$9:V25)-SUM(W$9:X25))
)
)</f>
        <v>0</v>
      </c>
      <c r="W26" s="97">
        <f>MIN(
$R26*MAX(F26-V26-MIN(F26,$Q26),0),
MAX(0,$O$32-SUM(W$9:W25)),
MAX(0,$P$32-SUM($U$35:U$35)-SUM(W$9:W25)),
MAX(0,$O$33-SUMPRODUCT($T$9:$T26,V$9:V26)-SUM(W$9:X25)),
MAX(0,$P$33-SUM($U$33:U$33)-SUMPRODUCT($T$9:$T26,V$9:V26)-SUM(W$9:X25))
)</f>
        <v>0</v>
      </c>
      <c r="X26" s="97">
        <f>MIN(
$S26*MAX(F26-$Q26-V26-W26,0),
MAX(0,$O$33-SUMPRODUCT($T$9:$T26,V$9:V26)-SUM(W$9:W26)-SUM(X$9:X25)),
MAX(0,$P$33-SUM($U$33:U$33)-SUMPRODUCT($T$9:$T26,V$9:V26)-SUM(W$9:W26)-SUM(X$9:X25))
)</f>
        <v>0</v>
      </c>
      <c r="Y26" s="97">
        <f>IF(H26=0,0,
MIN(
$O26*MAX(H26-CEILING($Q26+$P26*MIN($O$32-SUM(Z$9:Z25),$P$32-SUM(Z$9:Z25,$U$35:X$35))/(I26/H26),1),0),
MAX(0,$O$33-SUMPRODUCT($T$9:$T25,Y$9:Y25)-SUM(Z$9:AA25)),
MAX(0,$P$33-SUM($U$33:X$33)-SUMPRODUCT($T$9:$T25,Y$9:Y25)-SUM(Z$9:AA25))
)
)</f>
        <v>0</v>
      </c>
      <c r="Z26" s="97">
        <f>MIN(
$R26*MAX(I26-Y26-MIN(I26,$Q26),0),
MAX(0,$O$32-SUM(Z$9:Z25)),
MAX(0,$P$32-SUM($U$35:X$35)-SUM(Z$9:Z25)),
MAX(0,$O$33-SUMPRODUCT($T$9:$T26,Y$9:Y26)-SUM(Z$9:AA25)),
MAX(0,$P$33-SUM($U$33:X$33)-SUMPRODUCT($T$9:$T26,Y$9:Y26)-SUM(Z$9:AA25))
)</f>
        <v>0</v>
      </c>
      <c r="AA26" s="97">
        <f>MIN(
$S26*MAX(I26-$Q26-Y26-Z26,0),
MAX(0,$O$33-SUMPRODUCT($T$9:$T26,Y$9:Y26)-SUM(Z$9:Z26)-SUM(AA$9:AA25)),
MAX(0,$P$33-SUM($U$33:X$33)-SUMPRODUCT($T$9:$T26,Y$9:Y26)-SUM(Z$9:Z26)-SUM(AA$9:AA25))
)</f>
        <v>0</v>
      </c>
      <c r="AB26" s="97">
        <f>IF(K26=0,0,
MIN(
$O26*MAX(K26-CEILING($Q26+$P26*MIN($O$32-SUM(AC$9:AC25),$P$32-SUM(AC$9:AC25,$U$35:AA$35))/(L26/K26),1),0),
MAX(0,$O$33-SUMPRODUCT($T$9:$T25,AB$9:AB25)-SUM(AC$9:AD25)),
MAX(0,$P$33-SUM($U$33:AA$33)-SUMPRODUCT($T$9:$T25,AB$9:AB25)-SUM(AC$9:AD25))
)
)</f>
        <v>0</v>
      </c>
      <c r="AC26" s="97">
        <f>MIN(
$R26*MAX(L26-AB26-MIN(L26,$Q26),0),
MAX(0,$O$32-SUM(AC$9:AC25)),
MAX(0,$P$32-SUM($U$35:AA$35)-SUM(AC$9:AC25)),
MAX(0,$O$33-SUMPRODUCT($T$9:$T26,AB$9:AB26)-SUM(AC$9:AD25)),
MAX(0,$P$33-SUM($U$33:AA$33)-SUMPRODUCT($T$9:$T26,AB$9:AB26)-SUM(AC$9:AD25))
)</f>
        <v>0</v>
      </c>
      <c r="AD26" s="97">
        <f>MIN(
$S26*MAX(L26-$Q26-AB26-AC26,0),
MAX(0,$O$33-SUMPRODUCT($T$9:$T26,AB$9:AB26)-SUM(AC$9:AC26)-SUM(AD$9:AD25)),
MAX(0,$P$33-SUM($U$33:AA$33)-SUMPRODUCT($T$9:$T26,AB$9:AB26)-SUM(AC$9:AC26)-SUM(AD$9:AD25))
)</f>
        <v>0</v>
      </c>
      <c r="AE26" s="97">
        <f t="shared" si="7"/>
        <v>0</v>
      </c>
    </row>
    <row r="27" spans="1:31" s="66" customFormat="1" ht="17.100000000000001" customHeight="1" outlineLevel="2">
      <c r="A27" s="92" t="s">
        <v>226</v>
      </c>
      <c r="B27" s="90">
        <f>'Cost Estimator'!G37</f>
        <v>0</v>
      </c>
      <c r="C27" s="91">
        <f>B27*Asmpt!$B35</f>
        <v>0</v>
      </c>
      <c r="E27" s="90">
        <f t="shared" si="5"/>
        <v>0</v>
      </c>
      <c r="F27" s="91">
        <f t="shared" si="10"/>
        <v>0</v>
      </c>
      <c r="G27" s="92"/>
      <c r="H27" s="90">
        <f t="shared" si="6"/>
        <v>0</v>
      </c>
      <c r="I27" s="91">
        <f t="shared" si="11"/>
        <v>0</v>
      </c>
      <c r="J27" s="92"/>
      <c r="K27" s="93">
        <f t="shared" si="2"/>
        <v>0</v>
      </c>
      <c r="L27" s="91">
        <f t="shared" si="12"/>
        <v>0</v>
      </c>
      <c r="N27" s="66" t="str">
        <f t="shared" si="4"/>
        <v>[HOLD]</v>
      </c>
      <c r="O27" s="94">
        <f>Asmpt!$B$160</f>
        <v>0</v>
      </c>
      <c r="P27" s="95">
        <f>Asmpt!$B$161</f>
        <v>0</v>
      </c>
      <c r="Q27" s="94">
        <f>Asmpt!$B$162</f>
        <v>0</v>
      </c>
      <c r="R27" s="95">
        <f>Asmpt!$B$163</f>
        <v>1</v>
      </c>
      <c r="S27" s="96">
        <f>IF(Asmpt!$B$164=0,0,Asmpt!$B$46)</f>
        <v>0.2</v>
      </c>
      <c r="T27" s="89">
        <f>Asmpt!$B$51</f>
        <v>1</v>
      </c>
      <c r="U27" s="93"/>
      <c r="V27" s="97">
        <f>IF(E27=0,0,
MIN(
$O27*MAX(E27-CEILING($Q27+$P27*MIN($O$32-SUM(W$9:W26),$P$32-SUM(W$9:W26,$U$35:U$35))/(F27/E27),1),0),
MAX(0,$O$33-SUMPRODUCT($T$9:$T26,V$9:V26)-SUM(W$9:X26)),
MAX(0,$P$33-SUM($U$33:U$33)-SUMPRODUCT($T$9:$T26,V$9:V26)-SUM(W$9:X26))
)
)</f>
        <v>0</v>
      </c>
      <c r="W27" s="97">
        <f>MIN(
$R27*MAX(F27-V27-MIN(F27,$Q27),0),
MAX(0,$O$32-SUM(W$9:W26)),
MAX(0,$P$32-SUM($U$35:U$35)-SUM(W$9:W26)),
MAX(0,$O$33-SUMPRODUCT($T$9:$T27,V$9:V27)-SUM(W$9:X26)),
MAX(0,$P$33-SUM($U$33:U$33)-SUMPRODUCT($T$9:$T27,V$9:V27)-SUM(W$9:X26))
)</f>
        <v>0</v>
      </c>
      <c r="X27" s="97">
        <f>MIN(
$S27*MAX(F27-$Q27-V27-W27,0),
MAX(0,$O$33-SUMPRODUCT($T$9:$T27,V$9:V27)-SUM(W$9:W27)-SUM(X$9:X26)),
MAX(0,$P$33-SUM($U$33:U$33)-SUMPRODUCT($T$9:$T27,V$9:V27)-SUM(W$9:W27)-SUM(X$9:X26))
)</f>
        <v>0</v>
      </c>
      <c r="Y27" s="97">
        <f>IF(H27=0,0,
MIN(
$O27*MAX(H27-CEILING($Q27+$P27*MIN($O$32-SUM(Z$9:Z26),$P$32-SUM(Z$9:Z26,$U$35:X$35))/(I27/H27),1),0),
MAX(0,$O$33-SUMPRODUCT($T$9:$T26,Y$9:Y26)-SUM(Z$9:AA26)),
MAX(0,$P$33-SUM($U$33:X$33)-SUMPRODUCT($T$9:$T26,Y$9:Y26)-SUM(Z$9:AA26))
)
)</f>
        <v>0</v>
      </c>
      <c r="Z27" s="97">
        <f>MIN(
$R27*MAX(I27-Y27-MIN(I27,$Q27),0),
MAX(0,$O$32-SUM(Z$9:Z26)),
MAX(0,$P$32-SUM($U$35:X$35)-SUM(Z$9:Z26)),
MAX(0,$O$33-SUMPRODUCT($T$9:$T27,Y$9:Y27)-SUM(Z$9:AA26)),
MAX(0,$P$33-SUM($U$33:X$33)-SUMPRODUCT($T$9:$T27,Y$9:Y27)-SUM(Z$9:AA26))
)</f>
        <v>0</v>
      </c>
      <c r="AA27" s="97">
        <f>MIN(
$S27*MAX(I27-$Q27-Y27-Z27,0),
MAX(0,$O$33-SUMPRODUCT($T$9:$T27,Y$9:Y27)-SUM(Z$9:Z27)-SUM(AA$9:AA26)),
MAX(0,$P$33-SUM($U$33:X$33)-SUMPRODUCT($T$9:$T27,Y$9:Y27)-SUM(Z$9:Z27)-SUM(AA$9:AA26))
)</f>
        <v>0</v>
      </c>
      <c r="AB27" s="97">
        <f>IF(K27=0,0,
MIN(
$O27*MAX(K27-CEILING($Q27+$P27*MIN($O$32-SUM(AC$9:AC26),$P$32-SUM(AC$9:AC26,$U$35:AA$35))/(L27/K27),1),0),
MAX(0,$O$33-SUMPRODUCT($T$9:$T26,AB$9:AB26)-SUM(AC$9:AD26)),
MAX(0,$P$33-SUM($U$33:AA$33)-SUMPRODUCT($T$9:$T26,AB$9:AB26)-SUM(AC$9:AD26))
)
)</f>
        <v>0</v>
      </c>
      <c r="AC27" s="97">
        <f>MIN(
$R27*MAX(L27-AB27-MIN(L27,$Q27),0),
MAX(0,$O$32-SUM(AC$9:AC26)),
MAX(0,$P$32-SUM($U$35:AA$35)-SUM(AC$9:AC26)),
MAX(0,$O$33-SUMPRODUCT($T$9:$T27,AB$9:AB27)-SUM(AC$9:AD26)),
MAX(0,$P$33-SUM($U$33:AA$33)-SUMPRODUCT($T$9:$T27,AB$9:AB27)-SUM(AC$9:AD26))
)</f>
        <v>0</v>
      </c>
      <c r="AD27" s="97">
        <f>MIN(
$S27*MAX(L27-$Q27-AB27-AC27,0),
MAX(0,$O$33-SUMPRODUCT($T$9:$T27,AB$9:AB27)-SUM(AC$9:AC27)-SUM(AD$9:AD26)),
MAX(0,$P$33-SUM($U$33:AA$33)-SUMPRODUCT($T$9:$T27,AB$9:AB27)-SUM(AC$9:AC27)-SUM(AD$9:AD26))
)</f>
        <v>0</v>
      </c>
      <c r="AE27" s="97">
        <f t="shared" si="7"/>
        <v>0</v>
      </c>
    </row>
    <row r="28" spans="1:31" s="66" customFormat="1" ht="17.100000000000001" customHeight="1">
      <c r="A28" s="92" t="s">
        <v>117</v>
      </c>
      <c r="B28" s="90">
        <f>ROUNDUP(C28/5000,0)</f>
        <v>0</v>
      </c>
      <c r="C28" s="91">
        <f>'Cost Estimator'!G42</f>
        <v>0</v>
      </c>
      <c r="E28" s="90">
        <f t="shared" si="5"/>
        <v>0</v>
      </c>
      <c r="F28" s="91">
        <f t="shared" si="0"/>
        <v>0</v>
      </c>
      <c r="G28" s="92"/>
      <c r="H28" s="90">
        <f t="shared" si="6"/>
        <v>0</v>
      </c>
      <c r="I28" s="91">
        <f t="shared" si="1"/>
        <v>0</v>
      </c>
      <c r="J28" s="92"/>
      <c r="K28" s="93">
        <f t="shared" si="2"/>
        <v>0</v>
      </c>
      <c r="L28" s="91">
        <f t="shared" si="3"/>
        <v>0</v>
      </c>
      <c r="N28" s="66" t="str">
        <f t="shared" si="4"/>
        <v>Outpatient Procedures (Surgery)</v>
      </c>
      <c r="O28" s="94">
        <f>Asmpt!$B$166</f>
        <v>0</v>
      </c>
      <c r="P28" s="95">
        <f>Asmpt!$B$167</f>
        <v>0</v>
      </c>
      <c r="Q28" s="94">
        <f>Asmpt!$B$168</f>
        <v>0</v>
      </c>
      <c r="R28" s="95">
        <f>Asmpt!$B$169</f>
        <v>1</v>
      </c>
      <c r="S28" s="96">
        <f>IF(Asmpt!$B$170=0,0,Asmpt!$B$46)</f>
        <v>0.2</v>
      </c>
      <c r="T28" s="89">
        <f>Asmpt!$B$51</f>
        <v>1</v>
      </c>
      <c r="U28" s="93"/>
      <c r="V28" s="97">
        <f>IF(E28=0,0,
MIN(
$O28*MAX(E28-CEILING($Q28+$P28*MIN($O$32-SUM(W$9:W27),$P$32-SUM(W$9:W27,$U$35:U$35))/(F28/E28),1),0),
MAX(0,$O$33-SUMPRODUCT($T$9:$T27,V$9:V27)-SUM(W$9:X27)),
MAX(0,$P$33-SUM($U$33:U$33)-SUMPRODUCT($T$9:$T27,V$9:V27)-SUM(W$9:X27))
)
)</f>
        <v>0</v>
      </c>
      <c r="W28" s="97">
        <f>MIN(
$R28*MAX(F28-V28-MIN(F28,$Q28),0),
MAX(0,$O$32-SUM(W$9:W27)),
MAX(0,$P$32-SUM($U$35:U$35)-SUM(W$9:W27)),
MAX(0,$O$33-SUMPRODUCT($T$9:$T28,V$9:V28)-SUM(W$9:X27)),
MAX(0,$P$33-SUM($U$33:U$33)-SUMPRODUCT($T$9:$T28,V$9:V28)-SUM(W$9:X27))
)</f>
        <v>0</v>
      </c>
      <c r="X28" s="97">
        <f>MIN(
$S28*MAX(F28-$Q28-V28-W28,0),
MAX(0,$O$33-SUMPRODUCT($T$9:$T28,V$9:V28)-SUM(W$9:W28)-SUM(X$9:X27)),
MAX(0,$P$33-SUM($U$33:U$33)-SUMPRODUCT($T$9:$T28,V$9:V28)-SUM(W$9:W28)-SUM(X$9:X27))
)</f>
        <v>0</v>
      </c>
      <c r="Y28" s="97">
        <f>IF(H28=0,0,
MIN(
$O28*MAX(H28-CEILING($Q28+$P28*MIN($O$32-SUM(Z$9:Z27),$P$32-SUM(Z$9:Z27,$U$35:X$35))/(I28/H28),1),0),
MAX(0,$O$33-SUMPRODUCT($T$9:$T27,Y$9:Y27)-SUM(Z$9:AA27)),
MAX(0,$P$33-SUM($U$33:X$33)-SUMPRODUCT($T$9:$T27,Y$9:Y27)-SUM(Z$9:AA27))
)
)</f>
        <v>0</v>
      </c>
      <c r="Z28" s="97">
        <f>MIN(
$R28*MAX(I28-Y28-MIN(I28,$Q28),0),
MAX(0,$O$32-SUM(Z$9:Z27)),
MAX(0,$P$32-SUM($U$35:X$35)-SUM(Z$9:Z27)),
MAX(0,$O$33-SUMPRODUCT($T$9:$T28,Y$9:Y28)-SUM(Z$9:AA27)),
MAX(0,$P$33-SUM($U$33:X$33)-SUMPRODUCT($T$9:$T28,Y$9:Y28)-SUM(Z$9:AA27))
)</f>
        <v>0</v>
      </c>
      <c r="AA28" s="97">
        <f>MIN(
$S28*MAX(I28-$Q28-Y28-Z28,0),
MAX(0,$O$33-SUMPRODUCT($T$9:$T28,Y$9:Y28)-SUM(Z$9:Z28)-SUM(AA$9:AA27)),
MAX(0,$P$33-SUM($U$33:X$33)-SUMPRODUCT($T$9:$T28,Y$9:Y28)-SUM(Z$9:Z28)-SUM(AA$9:AA27))
)</f>
        <v>0</v>
      </c>
      <c r="AB28" s="97">
        <f>IF(K28=0,0,
MIN(
$O28*MAX(K28-CEILING($Q28+$P28*MIN($O$32-SUM(AC$9:AC27),$P$32-SUM(AC$9:AC27,$U$35:AA$35))/(L28/K28),1),0),
MAX(0,$O$33-SUMPRODUCT($T$9:$T27,AB$9:AB27)-SUM(AC$9:AD27)),
MAX(0,$P$33-SUM($U$33:AA$33)-SUMPRODUCT($T$9:$T27,AB$9:AB27)-SUM(AC$9:AD27))
)
)</f>
        <v>0</v>
      </c>
      <c r="AC28" s="97">
        <f>MIN(
$R28*MAX(L28-AB28-MIN(L28,$Q28),0),
MAX(0,$O$32-SUM(AC$9:AC27)),
MAX(0,$P$32-SUM($U$35:AA$35)-SUM(AC$9:AC27)),
MAX(0,$O$33-SUMPRODUCT($T$9:$T28,AB$9:AB28)-SUM(AC$9:AD27)),
MAX(0,$P$33-SUM($U$33:AA$33)-SUMPRODUCT($T$9:$T28,AB$9:AB28)-SUM(AC$9:AD27))
)</f>
        <v>0</v>
      </c>
      <c r="AD28" s="97">
        <f>MIN(
$S28*MAX(L28-$Q28-AB28-AC28,0),
MAX(0,$O$33-SUMPRODUCT($T$9:$T28,AB$9:AB28)-SUM(AC$9:AC28)-SUM(AD$9:AD27)),
MAX(0,$P$33-SUM($U$33:AA$33)-SUMPRODUCT($T$9:$T28,AB$9:AB28)-SUM(AC$9:AC28)-SUM(AD$9:AD27))
)</f>
        <v>0</v>
      </c>
      <c r="AE28" s="97">
        <f t="shared" si="7"/>
        <v>0</v>
      </c>
    </row>
    <row r="29" spans="1:31" s="66" customFormat="1" ht="17.100000000000001" customHeight="1">
      <c r="A29" s="92" t="s">
        <v>5</v>
      </c>
      <c r="B29" s="90">
        <f>ROUNDUP(C29/5000,0)</f>
        <v>0</v>
      </c>
      <c r="C29" s="91">
        <f>'Cost Estimator'!G46</f>
        <v>0</v>
      </c>
      <c r="E29" s="90">
        <f t="shared" si="5"/>
        <v>0</v>
      </c>
      <c r="F29" s="91">
        <f t="shared" si="0"/>
        <v>0</v>
      </c>
      <c r="G29" s="92"/>
      <c r="H29" s="90">
        <f t="shared" si="6"/>
        <v>0</v>
      </c>
      <c r="I29" s="91">
        <f t="shared" si="1"/>
        <v>0</v>
      </c>
      <c r="J29" s="92"/>
      <c r="K29" s="93">
        <f t="shared" si="2"/>
        <v>0</v>
      </c>
      <c r="L29" s="91">
        <f t="shared" si="3"/>
        <v>0</v>
      </c>
      <c r="N29" s="66" t="str">
        <f t="shared" si="4"/>
        <v>Other</v>
      </c>
      <c r="O29" s="94">
        <f>Asmpt!$B$172</f>
        <v>0</v>
      </c>
      <c r="P29" s="95">
        <f>Asmpt!$B$173</f>
        <v>0</v>
      </c>
      <c r="Q29" s="94">
        <f>Asmpt!$B$174</f>
        <v>0</v>
      </c>
      <c r="R29" s="95">
        <f>Asmpt!$B$175</f>
        <v>1</v>
      </c>
      <c r="S29" s="96">
        <f>IF(Asmpt!$B$176=0,0,Asmpt!$B$46)</f>
        <v>0.2</v>
      </c>
      <c r="T29" s="89">
        <f>Asmpt!$B$51</f>
        <v>1</v>
      </c>
      <c r="U29" s="93"/>
      <c r="V29" s="97">
        <f>IF(E29=0,0,
MIN(
$O29*MAX(E29-CEILING($Q29+$P29*MIN($O$32-SUM(W$9:W28),$P$32-SUM(W$9:W28,$U$35:U$35))/(F29/E29),1),0),
MAX(0,$O$33-SUMPRODUCT($T$9:$T28,V$9:V28)-SUM(W$9:X28)),
MAX(0,$P$33-SUM($U$33:U$33)-SUMPRODUCT($T$9:$T28,V$9:V28)-SUM(W$9:X28))
)
)</f>
        <v>0</v>
      </c>
      <c r="W29" s="97">
        <f>MIN(
$R29*MAX(F29-V29-MIN(F29,$Q29),0),
MAX(0,$O$32-SUM(W$9:W28)),
MAX(0,$P$32-SUM($U$35:U$35)-SUM(W$9:W28)),
MAX(0,$O$33-SUMPRODUCT($T$9:$T29,V$9:V29)-SUM(W$9:X28)),
MAX(0,$P$33-SUM($U$33:U$33)-SUMPRODUCT($T$9:$T29,V$9:V29)-SUM(W$9:X28))
)</f>
        <v>0</v>
      </c>
      <c r="X29" s="97">
        <f>MIN(
$S29*MAX(F29-$Q29-V29-W29,0),
MAX(0,$O$33-SUMPRODUCT($T$9:$T29,V$9:V29)-SUM(W$9:W29)-SUM(X$9:X28)),
MAX(0,$P$33-SUM($U$33:U$33)-SUMPRODUCT($T$9:$T29,V$9:V29)-SUM(W$9:W29)-SUM(X$9:X28))
)</f>
        <v>0</v>
      </c>
      <c r="Y29" s="97">
        <f>IF(H29=0,0,
MIN(
$O29*MAX(H29-CEILING($Q29+$P29*MIN($O$32-SUM(Z$9:Z28),$P$32-SUM(Z$9:Z28,$U$35:X$35))/(I29/H29),1),0),
MAX(0,$O$33-SUMPRODUCT($T$9:$T28,Y$9:Y28)-SUM(Z$9:AA28)),
MAX(0,$P$33-SUM($U$33:X$33)-SUMPRODUCT($T$9:$T28,Y$9:Y28)-SUM(Z$9:AA28))
)
)</f>
        <v>0</v>
      </c>
      <c r="Z29" s="97">
        <f>MIN(
$R29*MAX(I29-Y29-MIN(I29,$Q29),0),
MAX(0,$O$32-SUM(Z$9:Z28)),
MAX(0,$P$32-SUM($U$35:X$35)-SUM(Z$9:Z28)),
MAX(0,$O$33-SUMPRODUCT($T$9:$T29,Y$9:Y29)-SUM(Z$9:AA28)),
MAX(0,$P$33-SUM($U$33:X$33)-SUMPRODUCT($T$9:$T29,Y$9:Y29)-SUM(Z$9:AA28))
)</f>
        <v>0</v>
      </c>
      <c r="AA29" s="97">
        <f>MIN(
$S29*MAX(I29-$Q29-Y29-Z29,0),
MAX(0,$O$33-SUMPRODUCT($T$9:$T29,Y$9:Y29)-SUM(Z$9:Z29)-SUM(AA$9:AA28)),
MAX(0,$P$33-SUM($U$33:X$33)-SUMPRODUCT($T$9:$T29,Y$9:Y29)-SUM(Z$9:Z29)-SUM(AA$9:AA28))
)</f>
        <v>0</v>
      </c>
      <c r="AB29" s="97">
        <f>IF(K29=0,0,
MIN(
$O29*MAX(K29-CEILING($Q29+$P29*MIN($O$32-SUM(AC$9:AC28),$P$32-SUM(AC$9:AC28,$U$35:AA$35))/(L29/K29),1),0),
MAX(0,$O$33-SUMPRODUCT($T$9:$T28,AB$9:AB28)-SUM(AC$9:AD28)),
MAX(0,$P$33-SUM($U$33:AA$33)-SUMPRODUCT($T$9:$T28,AB$9:AB28)-SUM(AC$9:AD28))
)
)</f>
        <v>0</v>
      </c>
      <c r="AC29" s="97">
        <f>MIN(
$R29*MAX(L29-AB29-MIN(L29,$Q29),0),
MAX(0,$O$32-SUM(AC$9:AC28)),
MAX(0,$P$32-SUM($U$35:AA$35)-SUM(AC$9:AC28)),
MAX(0,$O$33-SUMPRODUCT($T$9:$T29,AB$9:AB29)-SUM(AC$9:AD28)),
MAX(0,$P$33-SUM($U$33:AA$33)-SUMPRODUCT($T$9:$T29,AB$9:AB29)-SUM(AC$9:AD28))
)</f>
        <v>0</v>
      </c>
      <c r="AD29" s="97">
        <f>MIN(
$S29*MAX(L29-$Q29-AB29-AC29,0),
MAX(0,$O$33-SUMPRODUCT($T$9:$T29,AB$9:AB29)-SUM(AC$9:AC29)-SUM(AD$9:AD28)),
MAX(0,$P$33-SUM($U$33:AA$33)-SUMPRODUCT($T$9:$T29,AB$9:AB29)-SUM(AC$9:AC29)-SUM(AD$9:AD28))
)</f>
        <v>0</v>
      </c>
      <c r="AE29" s="97">
        <f t="shared" si="7"/>
        <v>0</v>
      </c>
    </row>
    <row r="30" spans="1:31" s="66" customFormat="1" ht="17.100000000000001" customHeight="1">
      <c r="B30" s="93"/>
      <c r="C30" s="91"/>
      <c r="O30" s="94"/>
      <c r="P30" s="94"/>
      <c r="Q30" s="94"/>
      <c r="R30" s="89"/>
      <c r="S30" s="96"/>
      <c r="T30" s="89"/>
      <c r="U30" s="93"/>
      <c r="V30" s="97"/>
      <c r="W30" s="97"/>
      <c r="X30" s="97"/>
      <c r="Y30" s="97"/>
      <c r="Z30" s="97"/>
      <c r="AA30" s="97"/>
      <c r="AB30" s="97"/>
      <c r="AC30" s="97"/>
      <c r="AD30" s="97"/>
      <c r="AE30" s="97"/>
    </row>
    <row r="31" spans="1:31" s="66" customFormat="1" ht="17.100000000000001" customHeight="1">
      <c r="A31" s="66" t="s">
        <v>29</v>
      </c>
      <c r="B31" s="93"/>
      <c r="C31" s="91">
        <f>SUM(C10:C29)</f>
        <v>0</v>
      </c>
      <c r="F31" s="91">
        <f>SUM(F10:F29)</f>
        <v>0</v>
      </c>
      <c r="I31" s="91">
        <f>SUM(I10:I29)</f>
        <v>0</v>
      </c>
      <c r="L31" s="91">
        <f>SUM(L10:L29)</f>
        <v>0</v>
      </c>
      <c r="O31" s="99" t="str">
        <f>IF(E71=1, "Ind","Fam Mbr")</f>
        <v>Ind</v>
      </c>
      <c r="P31" s="99" t="s">
        <v>123</v>
      </c>
      <c r="Q31" s="99"/>
      <c r="U31" s="98" t="s">
        <v>93</v>
      </c>
      <c r="V31" s="97">
        <f t="shared" ref="V31" si="13">SUM(V10:V29)</f>
        <v>0</v>
      </c>
      <c r="W31" s="97">
        <f>SUM(W10:W29)</f>
        <v>0</v>
      </c>
      <c r="X31" s="97">
        <f t="shared" ref="X31:AE31" si="14">SUM(X10:X29)</f>
        <v>0</v>
      </c>
      <c r="Y31" s="97">
        <f t="shared" si="14"/>
        <v>0</v>
      </c>
      <c r="Z31" s="97">
        <f t="shared" si="14"/>
        <v>0</v>
      </c>
      <c r="AA31" s="97">
        <f t="shared" si="14"/>
        <v>0</v>
      </c>
      <c r="AB31" s="97">
        <f t="shared" si="14"/>
        <v>0</v>
      </c>
      <c r="AC31" s="97">
        <f t="shared" si="14"/>
        <v>0</v>
      </c>
      <c r="AD31" s="97">
        <f t="shared" si="14"/>
        <v>0</v>
      </c>
      <c r="AE31" s="97">
        <f t="shared" si="14"/>
        <v>0</v>
      </c>
    </row>
    <row r="32" spans="1:31" s="66" customFormat="1" ht="17.100000000000001" customHeight="1">
      <c r="B32" s="93"/>
      <c r="C32" s="94"/>
      <c r="N32" s="66" t="s">
        <v>88</v>
      </c>
      <c r="O32" s="94">
        <f>IF(E71=1,Asmpt!B44,IF(Asmpt!B53=1,Asmpt!B44,Asmpt!B45))</f>
        <v>500</v>
      </c>
      <c r="P32" s="94">
        <f>IF(E71=1,O32,Asmpt!B45)</f>
        <v>500</v>
      </c>
      <c r="Q32" s="94"/>
    </row>
    <row r="33" spans="1:31" s="75" customFormat="1" ht="17.100000000000001" customHeight="1">
      <c r="A33" s="76" t="s">
        <v>94</v>
      </c>
      <c r="B33" s="76"/>
      <c r="C33" s="77" t="str">
        <f>Asmpt!$B$43</f>
        <v>PPO</v>
      </c>
      <c r="D33" s="66"/>
      <c r="E33" s="66"/>
      <c r="F33" s="66"/>
      <c r="G33" s="66"/>
      <c r="H33" s="66"/>
      <c r="I33" s="66"/>
      <c r="J33" s="66"/>
      <c r="K33" s="66"/>
      <c r="L33" s="66"/>
      <c r="M33" s="66"/>
      <c r="N33" s="66" t="s">
        <v>95</v>
      </c>
      <c r="O33" s="94">
        <f>IF(E71=1,Asmpt!B48,IF(Asmpt!B54=1,Asmpt!B48,Asmpt!B50))</f>
        <v>3000</v>
      </c>
      <c r="P33" s="94">
        <f>IF(E71=1,O33,Asmpt!B49)</f>
        <v>3000</v>
      </c>
      <c r="Q33" s="94"/>
      <c r="U33" s="98" t="s">
        <v>96</v>
      </c>
      <c r="V33" s="97">
        <f>SUMPRODUCT(T10:T29,V10:V29)</f>
        <v>0</v>
      </c>
      <c r="W33" s="100">
        <f>W31</f>
        <v>0</v>
      </c>
      <c r="X33" s="100">
        <f>X31</f>
        <v>0</v>
      </c>
      <c r="Y33" s="97">
        <f>SUMPRODUCT(T10:T29,Y10:Y29)</f>
        <v>0</v>
      </c>
      <c r="Z33" s="100">
        <f>Z31</f>
        <v>0</v>
      </c>
      <c r="AA33" s="100">
        <f>AA31</f>
        <v>0</v>
      </c>
      <c r="AB33" s="97">
        <f>SUMPRODUCT(T10:T29,AB10:AB29)</f>
        <v>0</v>
      </c>
      <c r="AC33" s="100">
        <f>AC31</f>
        <v>0</v>
      </c>
      <c r="AD33" s="100">
        <f>AD31</f>
        <v>0</v>
      </c>
    </row>
    <row r="34" spans="1:31" s="66" customFormat="1" ht="17.100000000000001" customHeight="1">
      <c r="A34" s="66" t="s">
        <v>87</v>
      </c>
      <c r="C34" s="94">
        <f>Y38</f>
        <v>0</v>
      </c>
    </row>
    <row r="35" spans="1:31" s="66" customFormat="1" ht="17.100000000000001" customHeight="1">
      <c r="A35" s="66" t="s">
        <v>88</v>
      </c>
      <c r="C35" s="94">
        <f>Z38</f>
        <v>0</v>
      </c>
      <c r="U35" s="98" t="s">
        <v>98</v>
      </c>
      <c r="V35" s="97"/>
      <c r="W35" s="100">
        <f>W33</f>
        <v>0</v>
      </c>
      <c r="X35" s="100"/>
      <c r="Y35" s="97"/>
      <c r="Z35" s="100">
        <f>Z33</f>
        <v>0</v>
      </c>
      <c r="AA35" s="100"/>
      <c r="AB35" s="97"/>
      <c r="AC35" s="100">
        <f>AC33</f>
        <v>0</v>
      </c>
      <c r="AD35" s="100"/>
    </row>
    <row r="36" spans="1:31" s="66" customFormat="1" ht="17.100000000000001" customHeight="1">
      <c r="A36" s="66" t="s">
        <v>6</v>
      </c>
      <c r="C36" s="94">
        <f>AA38</f>
        <v>0</v>
      </c>
      <c r="N36" s="66">
        <f>5000-750</f>
        <v>4250</v>
      </c>
      <c r="O36" s="101"/>
      <c r="P36" s="101"/>
      <c r="Q36" s="101"/>
    </row>
    <row r="37" spans="1:31" s="66" customFormat="1" ht="17.100000000000001" customHeight="1">
      <c r="A37" s="66" t="str">
        <f>Asmpt!$AA$39</f>
        <v>(Less HSA Reimbursement)</v>
      </c>
      <c r="C37" s="94">
        <f>-MIN(SUM(C34:C36),INDEX(Asmpt!$B184:$B189,E71))</f>
        <v>0</v>
      </c>
      <c r="X37" s="93" t="s">
        <v>99</v>
      </c>
      <c r="Y37" s="102" t="s">
        <v>87</v>
      </c>
      <c r="Z37" s="102" t="s">
        <v>88</v>
      </c>
      <c r="AA37" s="102" t="s">
        <v>6</v>
      </c>
      <c r="AB37" s="66" t="s">
        <v>100</v>
      </c>
    </row>
    <row r="38" spans="1:31" s="66" customFormat="1" ht="17.100000000000001" customHeight="1">
      <c r="A38" s="66" t="s">
        <v>101</v>
      </c>
      <c r="C38" s="94">
        <f>SUM(C34:C37)</f>
        <v>0</v>
      </c>
      <c r="Y38" s="97">
        <f>SUM(V31,Y31,AB31)</f>
        <v>0</v>
      </c>
      <c r="Z38" s="97">
        <f>SUM(W31,Z31,AC31)</f>
        <v>0</v>
      </c>
      <c r="AA38" s="97">
        <f>SUM(X31,AA31,AD31)</f>
        <v>0</v>
      </c>
      <c r="AB38" s="97">
        <f>SUM(Y38:AA38)</f>
        <v>0</v>
      </c>
      <c r="AD38" s="100" t="s">
        <v>97</v>
      </c>
      <c r="AE38" s="100" t="b">
        <f>SUM(V31:AE31)=C31</f>
        <v>1</v>
      </c>
    </row>
    <row r="39" spans="1:31" s="66" customFormat="1" ht="17.100000000000001" customHeight="1">
      <c r="C39" s="94"/>
    </row>
    <row r="40" spans="1:31" s="66" customFormat="1" ht="17.100000000000001" customHeight="1">
      <c r="A40" s="66" t="s">
        <v>102</v>
      </c>
      <c r="B40" s="103"/>
      <c r="C40" s="94">
        <f>'Cost Estimator'!E57</f>
        <v>1464</v>
      </c>
    </row>
    <row r="41" spans="1:31" s="66" customFormat="1" ht="17.100000000000001" customHeight="1">
      <c r="B41" s="93"/>
      <c r="C41" s="93"/>
    </row>
    <row r="42" spans="1:31" s="75" customFormat="1" ht="17.100000000000001" customHeight="1">
      <c r="A42" s="104" t="s">
        <v>29</v>
      </c>
      <c r="B42" s="104"/>
      <c r="C42" s="105">
        <f>C38+C40</f>
        <v>1464</v>
      </c>
      <c r="D42" s="66"/>
      <c r="E42" s="66"/>
      <c r="F42" s="66"/>
      <c r="G42" s="66"/>
      <c r="H42" s="66"/>
      <c r="I42" s="66"/>
      <c r="J42" s="66"/>
      <c r="K42" s="66"/>
      <c r="L42" s="66"/>
      <c r="M42" s="66"/>
      <c r="N42" s="66"/>
    </row>
    <row r="43" spans="1:31" s="66" customFormat="1" ht="10.15" customHeight="1"/>
    <row r="44" spans="1:31" s="66" customFormat="1" ht="17.100000000000001" customHeight="1">
      <c r="A44" s="66" t="str">
        <f>Asmpt!$AA$40</f>
        <v>HSA Rollover</v>
      </c>
      <c r="C44" s="94" t="str">
        <f>IF(OR(C33="HSA",C33="HRA"),IF(Asmpt!B$184+C37=0,0,Asmpt!B$184+C37),"NA")</f>
        <v>NA</v>
      </c>
      <c r="O44" s="103"/>
      <c r="P44" s="103"/>
      <c r="Q44" s="103"/>
    </row>
    <row r="45" spans="1:31" s="66" customFormat="1" ht="17.100000000000001" customHeight="1">
      <c r="O45" s="103"/>
      <c r="P45" s="103"/>
      <c r="Q45" s="103"/>
    </row>
    <row r="46" spans="1:31" s="66" customFormat="1" ht="17.100000000000001" customHeight="1">
      <c r="A46" s="173" t="s">
        <v>153</v>
      </c>
      <c r="B46" s="173"/>
      <c r="C46" s="174"/>
      <c r="O46" s="103"/>
      <c r="P46" s="103"/>
      <c r="Q46" s="103"/>
    </row>
    <row r="47" spans="1:31" s="66" customFormat="1" ht="17.100000000000001" customHeight="1">
      <c r="A47" s="66" t="s">
        <v>154</v>
      </c>
      <c r="C47" s="97">
        <f>C40</f>
        <v>1464</v>
      </c>
      <c r="O47" s="103"/>
      <c r="P47" s="103"/>
      <c r="Q47" s="103"/>
    </row>
    <row r="48" spans="1:31" s="66" customFormat="1" ht="17.100000000000001" customHeight="1">
      <c r="A48" s="66" t="s">
        <v>104</v>
      </c>
      <c r="O48" s="103"/>
      <c r="P48" s="103"/>
      <c r="Q48" s="103"/>
    </row>
    <row r="49" spans="1:32" s="66" customFormat="1" ht="17.100000000000001" customHeight="1">
      <c r="A49" s="175" t="s">
        <v>157</v>
      </c>
      <c r="C49" s="66">
        <f>INDEX('Cost Estimator'!K5:K10,'Cost Estimator'!J4)</f>
        <v>1</v>
      </c>
      <c r="O49" s="103"/>
      <c r="P49" s="103"/>
      <c r="Q49" s="103"/>
    </row>
    <row r="50" spans="1:32" s="66" customFormat="1" ht="17.100000000000001" customHeight="1">
      <c r="A50" s="175" t="s">
        <v>158</v>
      </c>
      <c r="C50" s="66">
        <f>C49*Asmpt!B50</f>
        <v>3000</v>
      </c>
      <c r="O50" s="103"/>
      <c r="P50" s="103"/>
      <c r="Q50" s="103"/>
    </row>
    <row r="51" spans="1:32" s="66" customFormat="1" ht="17.100000000000001" customHeight="1">
      <c r="A51" s="175" t="s">
        <v>159</v>
      </c>
      <c r="C51" s="66">
        <f>Asmpt!B49</f>
        <v>6000</v>
      </c>
      <c r="O51" s="103"/>
      <c r="P51" s="103"/>
      <c r="Q51" s="103"/>
    </row>
    <row r="52" spans="1:32" s="66" customFormat="1" ht="17.100000000000001" customHeight="1">
      <c r="A52" s="175" t="s">
        <v>160</v>
      </c>
      <c r="C52" s="66">
        <f>MIN(C50:C51)</f>
        <v>3000</v>
      </c>
      <c r="O52" s="103"/>
      <c r="P52" s="103"/>
      <c r="Q52" s="103"/>
    </row>
    <row r="53" spans="1:32" s="66" customFormat="1" ht="17.100000000000001" customHeight="1">
      <c r="A53" s="66" t="s">
        <v>155</v>
      </c>
      <c r="C53" s="97">
        <f>-MIN(C52,INDEX(Asmpt!$B184:$B189,E71))</f>
        <v>0</v>
      </c>
      <c r="O53" s="103"/>
      <c r="P53" s="103"/>
      <c r="Q53" s="103"/>
    </row>
    <row r="54" spans="1:32" s="66" customFormat="1" ht="17.100000000000001" customHeight="1">
      <c r="A54" s="66" t="s">
        <v>29</v>
      </c>
      <c r="C54" s="97">
        <f>C47+C52+C53</f>
        <v>4464</v>
      </c>
      <c r="O54" s="103"/>
      <c r="P54" s="103"/>
      <c r="Q54" s="103"/>
    </row>
    <row r="55" spans="1:32" s="66" customFormat="1" ht="17.100000000000001" customHeight="1">
      <c r="O55" s="103"/>
      <c r="P55" s="103"/>
      <c r="Q55" s="103"/>
    </row>
    <row r="56" spans="1:32" s="66" customFormat="1" ht="17.100000000000001" customHeight="1">
      <c r="O56" s="103"/>
      <c r="P56" s="103"/>
      <c r="Q56" s="103"/>
    </row>
    <row r="57" spans="1:32" s="66" customFormat="1" ht="17.100000000000001" customHeight="1">
      <c r="A57" s="103" t="s">
        <v>74</v>
      </c>
      <c r="O57" s="101"/>
      <c r="P57" s="101"/>
      <c r="Q57" s="101"/>
    </row>
    <row r="58" spans="1:32" s="66" customFormat="1" ht="15.75">
      <c r="A58" s="66" t="s">
        <v>103</v>
      </c>
      <c r="M58" s="85"/>
      <c r="N58" s="85"/>
      <c r="O58" s="85"/>
      <c r="P58" s="85"/>
      <c r="Q58" s="85"/>
      <c r="R58" s="85"/>
      <c r="S58" s="85"/>
      <c r="T58" s="85"/>
      <c r="U58" s="85"/>
      <c r="V58" s="85"/>
      <c r="W58" s="85"/>
      <c r="X58" s="85"/>
      <c r="Y58" s="85"/>
      <c r="Z58" s="85"/>
      <c r="AA58" s="85"/>
      <c r="AB58" s="85"/>
      <c r="AC58" s="85"/>
      <c r="AD58" s="85"/>
      <c r="AE58" s="85"/>
      <c r="AF58" s="85"/>
    </row>
    <row r="59" spans="1:32" s="66" customFormat="1" ht="15.75">
      <c r="A59" s="66" t="str">
        <f>C33&amp;" = "&amp;Asmpt!B$40</f>
        <v>PPO = PPO Plan</v>
      </c>
      <c r="M59" s="85"/>
      <c r="N59" s="85"/>
      <c r="O59" s="85"/>
      <c r="P59" s="85"/>
      <c r="Q59" s="85"/>
      <c r="R59" s="85"/>
      <c r="S59" s="85"/>
      <c r="T59" s="85"/>
      <c r="U59" s="85"/>
      <c r="V59" s="85"/>
      <c r="W59" s="85"/>
      <c r="X59" s="85"/>
      <c r="Y59" s="85"/>
      <c r="Z59" s="85"/>
      <c r="AA59" s="85"/>
      <c r="AB59" s="85"/>
      <c r="AC59" s="85"/>
      <c r="AD59" s="85"/>
      <c r="AE59" s="85"/>
      <c r="AF59" s="85"/>
    </row>
    <row r="60" spans="1:32" s="106" customFormat="1" ht="15.75"/>
    <row r="61" spans="1:32" s="106" customFormat="1" ht="15.75"/>
    <row r="62" spans="1:32" s="106" customFormat="1" ht="15.75">
      <c r="B62" s="107" t="s">
        <v>107</v>
      </c>
      <c r="C62" s="108"/>
      <c r="D62" s="108"/>
      <c r="E62" s="108"/>
      <c r="F62" s="108"/>
      <c r="G62" s="108"/>
      <c r="H62" s="108"/>
      <c r="I62" s="108"/>
      <c r="J62" s="108"/>
      <c r="K62" s="108"/>
      <c r="L62" s="109"/>
    </row>
    <row r="63" spans="1:32" s="106" customFormat="1" ht="15.75">
      <c r="B63" s="110" t="s">
        <v>2</v>
      </c>
      <c r="C63" s="111"/>
      <c r="D63" s="111"/>
      <c r="E63" s="112">
        <v>1</v>
      </c>
      <c r="F63" s="112"/>
      <c r="G63" s="112"/>
      <c r="H63" s="112">
        <v>0</v>
      </c>
      <c r="I63" s="112"/>
      <c r="J63" s="112"/>
      <c r="K63" s="112">
        <v>0</v>
      </c>
      <c r="L63" s="113"/>
    </row>
    <row r="64" spans="1:32" s="106" customFormat="1" ht="15.75">
      <c r="B64" s="110" t="s">
        <v>31</v>
      </c>
      <c r="C64" s="111"/>
      <c r="D64" s="111"/>
      <c r="E64" s="112">
        <v>0.85</v>
      </c>
      <c r="F64" s="112"/>
      <c r="G64" s="112"/>
      <c r="H64" s="112">
        <v>0.15</v>
      </c>
      <c r="I64" s="112"/>
      <c r="J64" s="112"/>
      <c r="K64" s="112">
        <v>0</v>
      </c>
      <c r="L64" s="113"/>
    </row>
    <row r="65" spans="2:12" s="106" customFormat="1" ht="15.75">
      <c r="B65" s="110" t="s">
        <v>26</v>
      </c>
      <c r="C65" s="111"/>
      <c r="D65" s="111"/>
      <c r="E65" s="112">
        <v>0.85</v>
      </c>
      <c r="F65" s="112"/>
      <c r="G65" s="112"/>
      <c r="H65" s="112">
        <v>0.15</v>
      </c>
      <c r="I65" s="112"/>
      <c r="J65" s="112"/>
      <c r="K65" s="112">
        <v>0</v>
      </c>
      <c r="L65" s="113"/>
    </row>
    <row r="66" spans="2:12" s="106" customFormat="1" ht="15.75">
      <c r="B66" s="110" t="s">
        <v>19</v>
      </c>
      <c r="C66" s="111"/>
      <c r="D66" s="111"/>
      <c r="E66" s="112">
        <v>0.65</v>
      </c>
      <c r="F66" s="112"/>
      <c r="G66" s="112"/>
      <c r="H66" s="112">
        <v>0.25</v>
      </c>
      <c r="I66" s="112"/>
      <c r="J66" s="112"/>
      <c r="K66" s="112">
        <v>0.1</v>
      </c>
      <c r="L66" s="113"/>
    </row>
    <row r="67" spans="2:12" s="106" customFormat="1" ht="15.75">
      <c r="B67" s="110" t="s">
        <v>24</v>
      </c>
      <c r="C67" s="111"/>
      <c r="D67" s="111"/>
      <c r="E67" s="112">
        <v>0.65</v>
      </c>
      <c r="F67" s="112"/>
      <c r="G67" s="112"/>
      <c r="H67" s="112">
        <v>0.25</v>
      </c>
      <c r="I67" s="112"/>
      <c r="J67" s="112"/>
      <c r="K67" s="112">
        <v>0.1</v>
      </c>
      <c r="L67" s="113"/>
    </row>
    <row r="68" spans="2:12" s="106" customFormat="1" ht="15.75">
      <c r="B68" s="110" t="s">
        <v>23</v>
      </c>
      <c r="C68" s="111"/>
      <c r="D68" s="111"/>
      <c r="E68" s="112">
        <v>0.65</v>
      </c>
      <c r="F68" s="112"/>
      <c r="G68" s="112"/>
      <c r="H68" s="112">
        <v>0.25</v>
      </c>
      <c r="I68" s="112"/>
      <c r="J68" s="112"/>
      <c r="K68" s="112">
        <v>0.1</v>
      </c>
      <c r="L68" s="113"/>
    </row>
    <row r="69" spans="2:12">
      <c r="B69" s="114"/>
      <c r="C69" s="115"/>
      <c r="D69" s="115"/>
      <c r="E69" s="115"/>
      <c r="F69" s="115"/>
      <c r="G69" s="115"/>
      <c r="H69" s="115"/>
      <c r="I69" s="115"/>
      <c r="J69" s="115"/>
      <c r="K69" s="115"/>
      <c r="L69" s="116"/>
    </row>
    <row r="70" spans="2:12">
      <c r="B70" s="114"/>
      <c r="C70" s="115"/>
      <c r="D70" s="115"/>
      <c r="E70" s="115"/>
      <c r="F70" s="115"/>
      <c r="G70" s="115"/>
      <c r="H70" s="115"/>
      <c r="I70" s="115"/>
      <c r="J70" s="115"/>
      <c r="K70" s="115"/>
      <c r="L70" s="116"/>
    </row>
    <row r="71" spans="2:12">
      <c r="B71" s="114" t="s">
        <v>108</v>
      </c>
      <c r="C71" s="115"/>
      <c r="D71" s="115"/>
      <c r="E71" s="115">
        <f>MATCH(1,'Cost Estimator'!$J$5:$J$10,0)</f>
        <v>1</v>
      </c>
      <c r="F71" s="115"/>
      <c r="G71" s="115"/>
      <c r="H71" s="115"/>
      <c r="I71" s="115"/>
      <c r="J71" s="115"/>
      <c r="K71" s="115"/>
      <c r="L71" s="116"/>
    </row>
    <row r="72" spans="2:12">
      <c r="B72" s="117" t="str">
        <f>INDEX(B63:B68,MATCH(1,'Cost Estimator'!$J$5:$J$10,0),1)</f>
        <v>Employee Only</v>
      </c>
      <c r="C72" s="118"/>
      <c r="D72" s="118"/>
      <c r="E72" s="119">
        <f>INDEX(E63:E68,MATCH(1,'Cost Estimator'!$J$5:$J$10,0),1)</f>
        <v>1</v>
      </c>
      <c r="F72" s="119"/>
      <c r="G72" s="119"/>
      <c r="H72" s="119">
        <f>INDEX(H63:H68,MATCH(1,'Cost Estimator'!$J$5:$J$10,0),1)</f>
        <v>0</v>
      </c>
      <c r="I72" s="119"/>
      <c r="J72" s="119"/>
      <c r="K72" s="119">
        <f>INDEX(K63:K68,MATCH(1,'Cost Estimator'!$J$5:$J$10,0),1)</f>
        <v>0</v>
      </c>
      <c r="L72" s="120"/>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H72"/>
  <sheetViews>
    <sheetView showGridLines="0" topLeftCell="A4" zoomScale="70" zoomScaleNormal="70" zoomScaleSheetLayoutView="86" workbookViewId="0">
      <selection activeCell="G19" sqref="G1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7109375" customWidth="1" outlineLevel="1"/>
    <col min="15" max="20" width="11" customWidth="1" outlineLevel="1"/>
    <col min="21" max="21" width="2.5703125" customWidth="1" outlineLevel="1"/>
    <col min="22" max="31" width="11" customWidth="1" outlineLevel="1"/>
    <col min="32" max="32" width="9.140625" customWidth="1"/>
  </cols>
  <sheetData>
    <row r="1" spans="1:33" s="37" customFormat="1" ht="26.25">
      <c r="A1" s="56" t="str">
        <f>Asmpt!$B5&amp;" Medical Plans"</f>
        <v>Green Diamond Resource Company Medical Plans</v>
      </c>
      <c r="B1" s="56"/>
      <c r="C1" s="57"/>
      <c r="D1" s="58"/>
      <c r="E1" s="56"/>
      <c r="F1" s="56"/>
      <c r="G1" s="56"/>
      <c r="H1" s="56"/>
      <c r="I1" s="56"/>
      <c r="J1" s="56"/>
      <c r="K1" s="56"/>
      <c r="L1" s="56"/>
      <c r="M1" s="56"/>
      <c r="N1" s="56" t="str">
        <f>Asmpt!$B5&amp;" Medical Plans"</f>
        <v>Green Diamond Resource Company Medical Plans</v>
      </c>
      <c r="O1" s="56"/>
      <c r="P1" s="56"/>
      <c r="Q1" s="56"/>
      <c r="R1" s="56"/>
      <c r="S1" s="56"/>
      <c r="T1" s="56"/>
      <c r="U1" s="56"/>
      <c r="V1" s="56"/>
      <c r="W1" s="56"/>
      <c r="X1" s="56"/>
      <c r="Y1" s="56"/>
      <c r="Z1" s="56"/>
      <c r="AA1" s="56"/>
      <c r="AB1" s="56"/>
      <c r="AC1" s="56"/>
      <c r="AD1" s="56"/>
      <c r="AE1" s="59"/>
    </row>
    <row r="2" spans="1:33" s="37" customFormat="1" ht="21">
      <c r="A2" s="60" t="str">
        <f>"Detailed Out-of-Pocket Cost Examples for "&amp;Asmpt!C40</f>
        <v>Detailed Out-of-Pocket Cost Examples for HSP Plan</v>
      </c>
      <c r="B2" s="60"/>
      <c r="C2" s="44"/>
      <c r="D2" s="44"/>
      <c r="E2" s="60"/>
      <c r="F2" s="44"/>
      <c r="G2" s="44"/>
      <c r="H2" s="44"/>
      <c r="I2" s="44"/>
      <c r="J2" s="44"/>
      <c r="K2" s="44"/>
      <c r="L2" s="44"/>
      <c r="M2" s="44"/>
      <c r="N2" s="60" t="str">
        <f>$A2</f>
        <v>Detailed Out-of-Pocket Cost Examples for HSP Plan</v>
      </c>
      <c r="Q2" s="60"/>
    </row>
    <row r="3" spans="1:33" s="44" customFormat="1" ht="21">
      <c r="A3" s="60"/>
      <c r="B3" s="60"/>
    </row>
    <row r="4" spans="1:33" s="64" customFormat="1" ht="20.100000000000001" customHeight="1">
      <c r="A4" s="62"/>
      <c r="B4" s="62"/>
      <c r="C4" s="63"/>
      <c r="E4" s="61" t="s">
        <v>76</v>
      </c>
      <c r="F4" s="62"/>
      <c r="G4" s="62"/>
      <c r="H4" s="62"/>
      <c r="I4" s="62"/>
      <c r="J4" s="62"/>
      <c r="K4" s="62"/>
      <c r="L4" s="62"/>
      <c r="N4" s="65"/>
      <c r="O4" s="68" t="str">
        <f>Asmpt!$C$43&amp;" — "&amp;A6</f>
        <v>HSA — Employee Only</v>
      </c>
      <c r="P4" s="68"/>
      <c r="Q4" s="68"/>
      <c r="R4" s="68"/>
      <c r="S4" s="68"/>
      <c r="T4" s="68"/>
      <c r="U4" s="68"/>
      <c r="V4" s="68"/>
      <c r="W4" s="68"/>
      <c r="X4" s="68"/>
      <c r="Y4" s="68"/>
      <c r="Z4" s="68"/>
      <c r="AA4" s="68"/>
      <c r="AB4" s="68"/>
      <c r="AC4" s="68"/>
      <c r="AD4" s="68"/>
      <c r="AE4" s="68"/>
      <c r="AF4" s="65"/>
    </row>
    <row r="5" spans="1:33" s="66" customFormat="1" ht="10.15" customHeight="1">
      <c r="E5" s="67"/>
    </row>
    <row r="6" spans="1:33" s="71" customFormat="1" ht="20.25" customHeight="1">
      <c r="A6" s="70" t="str">
        <f>B72</f>
        <v>Employee Only</v>
      </c>
      <c r="B6" s="70"/>
      <c r="C6" s="70"/>
      <c r="D6" s="69"/>
      <c r="E6" s="70" t="s">
        <v>77</v>
      </c>
      <c r="F6" s="70"/>
      <c r="G6" s="69"/>
      <c r="H6" s="70" t="s">
        <v>78</v>
      </c>
      <c r="I6" s="70"/>
      <c r="J6" s="69"/>
      <c r="K6" s="70" t="s">
        <v>79</v>
      </c>
      <c r="L6" s="70"/>
      <c r="M6" s="69"/>
      <c r="N6" s="69"/>
      <c r="V6" s="121" t="s">
        <v>77</v>
      </c>
      <c r="W6" s="122"/>
      <c r="X6" s="123"/>
      <c r="Y6" s="121" t="s">
        <v>78</v>
      </c>
      <c r="Z6" s="122"/>
      <c r="AA6" s="123"/>
      <c r="AB6" s="121" t="s">
        <v>79</v>
      </c>
      <c r="AC6" s="122"/>
      <c r="AD6" s="123"/>
    </row>
    <row r="7" spans="1:33" s="75" customFormat="1" ht="10.15" customHeight="1">
      <c r="A7" s="72"/>
      <c r="B7" s="72"/>
      <c r="C7" s="72"/>
      <c r="D7" s="66"/>
      <c r="E7" s="66"/>
      <c r="F7" s="66"/>
      <c r="G7" s="66"/>
      <c r="H7" s="66"/>
      <c r="I7" s="66"/>
      <c r="J7" s="66"/>
      <c r="K7" s="66"/>
      <c r="L7" s="66"/>
      <c r="M7" s="66"/>
      <c r="N7" s="66"/>
      <c r="O7" s="66"/>
      <c r="P7" s="66"/>
      <c r="Q7" s="66"/>
      <c r="R7" s="66"/>
      <c r="S7" s="66"/>
      <c r="T7" s="66"/>
      <c r="U7" s="66"/>
      <c r="V7" s="73"/>
      <c r="W7" s="73"/>
      <c r="X7" s="73"/>
      <c r="Y7" s="73"/>
      <c r="Z7" s="73"/>
      <c r="AA7" s="73"/>
      <c r="AB7" s="73"/>
      <c r="AC7" s="73"/>
      <c r="AD7" s="73"/>
      <c r="AE7" s="74"/>
    </row>
    <row r="8" spans="1:33" s="75" customFormat="1" ht="17.100000000000001" customHeight="1">
      <c r="A8" s="76" t="s">
        <v>80</v>
      </c>
      <c r="B8" s="77" t="s">
        <v>81</v>
      </c>
      <c r="C8" s="78" t="s">
        <v>82</v>
      </c>
      <c r="D8" s="66"/>
      <c r="E8" s="77" t="s">
        <v>81</v>
      </c>
      <c r="F8" s="77" t="s">
        <v>83</v>
      </c>
      <c r="G8" s="79"/>
      <c r="H8" s="77" t="s">
        <v>81</v>
      </c>
      <c r="I8" s="77" t="s">
        <v>83</v>
      </c>
      <c r="J8" s="79"/>
      <c r="K8" s="77" t="s">
        <v>81</v>
      </c>
      <c r="L8" s="77" t="s">
        <v>83</v>
      </c>
      <c r="M8" s="66"/>
      <c r="N8" s="76" t="s">
        <v>106</v>
      </c>
      <c r="O8" s="77" t="s">
        <v>65</v>
      </c>
      <c r="P8" s="77" t="s">
        <v>84</v>
      </c>
      <c r="Q8" s="80" t="s">
        <v>91</v>
      </c>
      <c r="R8" s="81" t="s">
        <v>85</v>
      </c>
      <c r="S8" s="81" t="s">
        <v>86</v>
      </c>
      <c r="T8" s="81" t="s">
        <v>92</v>
      </c>
      <c r="U8" s="82"/>
      <c r="V8" s="83" t="s">
        <v>87</v>
      </c>
      <c r="W8" s="83" t="s">
        <v>88</v>
      </c>
      <c r="X8" s="83" t="s">
        <v>89</v>
      </c>
      <c r="Y8" s="82" t="s">
        <v>87</v>
      </c>
      <c r="Z8" s="82" t="s">
        <v>88</v>
      </c>
      <c r="AA8" s="82" t="s">
        <v>89</v>
      </c>
      <c r="AB8" s="83" t="s">
        <v>87</v>
      </c>
      <c r="AC8" s="83" t="s">
        <v>88</v>
      </c>
      <c r="AD8" s="83" t="s">
        <v>89</v>
      </c>
      <c r="AE8" s="84" t="s">
        <v>90</v>
      </c>
      <c r="AG8"/>
    </row>
    <row r="9" spans="1:33" s="85" customFormat="1" ht="17.100000000000001" customHeight="1">
      <c r="T9" s="86">
        <v>0</v>
      </c>
      <c r="U9" s="87"/>
      <c r="V9" s="88">
        <v>0</v>
      </c>
      <c r="W9" s="88">
        <v>0</v>
      </c>
      <c r="X9" s="88">
        <v>0</v>
      </c>
      <c r="Y9" s="88">
        <v>0</v>
      </c>
      <c r="Z9" s="88">
        <v>0</v>
      </c>
      <c r="AA9" s="88">
        <v>0</v>
      </c>
      <c r="AB9" s="88">
        <v>0</v>
      </c>
      <c r="AC9" s="88">
        <v>0</v>
      </c>
      <c r="AD9" s="87">
        <v>0</v>
      </c>
      <c r="AE9" s="87"/>
    </row>
    <row r="10" spans="1:33" s="66" customFormat="1" ht="17.100000000000001" customHeight="1">
      <c r="A10" s="92" t="s">
        <v>43</v>
      </c>
      <c r="B10" s="90">
        <v>0</v>
      </c>
      <c r="C10" s="91">
        <f>B10*Asmpt!$B$18</f>
        <v>0</v>
      </c>
      <c r="E10" s="90">
        <f>ROUND(E$72*B10,0)</f>
        <v>0</v>
      </c>
      <c r="F10" s="91">
        <f t="shared" ref="F10:F29" si="0">IF($B10=0,0,$C10/$B10*E10)</f>
        <v>0</v>
      </c>
      <c r="G10" s="92"/>
      <c r="H10" s="90">
        <f>IF(E$71&lt;4,B10-E10,ROUND(H$72*B10,0))</f>
        <v>0</v>
      </c>
      <c r="I10" s="91">
        <f t="shared" ref="I10:I29" si="1">IF($B10=0,0,$C10/$B10*H10)</f>
        <v>0</v>
      </c>
      <c r="J10" s="92"/>
      <c r="K10" s="93">
        <f t="shared" ref="K10:K29" si="2">B10-E10-H10</f>
        <v>0</v>
      </c>
      <c r="L10" s="91">
        <f t="shared" ref="L10:L29" si="3">IF($B10=0,0,$C10/$B10*K10)</f>
        <v>0</v>
      </c>
      <c r="N10" s="66" t="str">
        <f t="shared" ref="N10:N29" si="4">A10</f>
        <v>Office Visits - Preventive</v>
      </c>
      <c r="O10" s="94">
        <f>Asmpt!$C$58</f>
        <v>0</v>
      </c>
      <c r="P10" s="95">
        <f>Asmpt!$C$59</f>
        <v>0</v>
      </c>
      <c r="Q10" s="94">
        <f>Asmpt!$C$60</f>
        <v>0</v>
      </c>
      <c r="R10" s="95">
        <f>Asmpt!$C$61</f>
        <v>0</v>
      </c>
      <c r="S10" s="96">
        <f>IF(Asmpt!$C$62=0,0,Asmpt!$C$46)</f>
        <v>0</v>
      </c>
      <c r="T10" s="89">
        <f>Asmpt!$C$51</f>
        <v>1</v>
      </c>
      <c r="U10" s="93"/>
      <c r="V10" s="97">
        <f>IF(E10=0,0,
MIN(
$O10*MAX(E10-CEILING($Q10+$P10*MIN($O$32-SUM(W$9:W9),$P$32-SUM(W$9:W9,$U$35:U$35))/(F10/E10),1),0),
MAX(0,$O$33-SUMPRODUCT($T$9:$T9,V$9:V9)-SUM(W$9:X9)),
MAX(0,$P$33-SUM($U$33:U$33)-SUMPRODUCT($T$9:$T9,V$9:V9)-SUM(W$9:X9))
)
)</f>
        <v>0</v>
      </c>
      <c r="W10" s="97">
        <f>MIN(
$R10*MAX(F10-V10-MIN(F10,$Q10),0),
MAX(0,$O$32-SUM(W$9:W9)),
MAX(0,$P$32-SUM($U$35:U$35)-SUM(W$9:W9)),
MAX(0,$O$33-SUMPRODUCT($T$9:$T10,V$9:V10)-SUM(W$9:X9)),
MAX(0,$P$33-SUM($U$33:U$33)-SUMPRODUCT($T$9:$T10,V$9:V10)-SUM(W$9:X9))
)</f>
        <v>0</v>
      </c>
      <c r="X10" s="97">
        <f>MIN(
$S10*MAX(F10-$Q10-V10-W10,0),
MAX(0,$O$33-SUMPRODUCT($T$9:$T10,V$9:V10)-SUM(W$9:W10)-SUM(X$9:X9)),
MAX(0,$P$33-SUM($U$33:U$33)-SUMPRODUCT($T$9:$T10,V$9:V10)-SUM(W$9:W10)-SUM(X$9:X9))
)</f>
        <v>0</v>
      </c>
      <c r="Y10" s="97">
        <f>IF(H10=0,0,
MIN(
$O10*MAX(H10-CEILING($Q10+$P10*MIN($O$32-SUM(Z$9:Z9),$P$32-SUM(Z$9:Z9,$U$35:X$35))/(I10/H10),1),0),
MAX(0,$O$33-SUMPRODUCT($T$9:$T9,Y$9:Y9)-SUM(Z$9:AA9)),
MAX(0,$P$33-SUM($U$33:X$33)-SUMPRODUCT($T$9:$T9,Y$9:Y9)-SUM(Z$9:AA9))
)
)</f>
        <v>0</v>
      </c>
      <c r="Z10" s="97">
        <f>MIN(
$R10*MAX(I10-Y10-MIN(I10,$Q10),0),
MAX(0,$O$32-SUM(Z$9:Z9)),
MAX(0,$P$32-SUM($U$35:X$35)-SUM(Z$9:Z9)),
MAX(0,$O$33-SUMPRODUCT($T$9:$T10,Y$9:Y10)-SUM(Z$9:AA9)),
MAX(0,$P$33-SUM($U$33:X$33)-SUMPRODUCT($T$9:$T10,Y$9:Y10)-SUM(Z$9:AA9))
)</f>
        <v>0</v>
      </c>
      <c r="AA10" s="97">
        <f>MIN(
$S10*MAX(I10-$Q10-Y10-Z10,0),
MAX(0,$O$33-SUMPRODUCT($T$9:$T10,Y$9:Y10)-SUM(Z$9:Z10)-SUM(AA$9:AA9)),
MAX(0,$P$33-SUM($U$33:X$33)-SUMPRODUCT($T$9:$T10,Y$9:Y10)-SUM(Z$9:Z10)-SUM(AA$9:AA9))
)</f>
        <v>0</v>
      </c>
      <c r="AB10" s="97">
        <f>IF(K10=0,0,
MIN(
$O10*MAX(K10-CEILING($Q10+$P10*MIN($O$32-SUM(AC$9:AC9),$P$32-SUM(AC$9:AC9,$U$35:AA$35))/(L10/K10),1),0),
MAX(0,$O$33-SUMPRODUCT($T$9:$T9,AB$9:AB9)-SUM(AC$9:AD9)),
MAX(0,$P$33-SUM($U$33:AA$33)-SUMPRODUCT($T$9:$T9,AB$9:AB9)-SUM(AC$9:AD9))
)
)</f>
        <v>0</v>
      </c>
      <c r="AC10" s="97">
        <f>MIN(
$R10*MAX(L10-AB10-MIN(L10,$Q10),0),
MAX(0,$O$32-SUM(AC$9:AC9)),
MAX(0,$P$32-SUM($U$35:AA$35)-SUM(AC$9:AC9)),
MAX(0,$O$33-SUMPRODUCT($T$9:$T10,AB$9:AB10)-SUM(AC$9:AD9)),
MAX(0,$P$33-SUM($U$33:AA$33)-SUMPRODUCT($T$9:$T10,AB$9:AB10)-SUM(AC$9:AD9))
)</f>
        <v>0</v>
      </c>
      <c r="AD10" s="97">
        <f>MIN(
$S10*MAX(L10-$Q10-AB10-AC10,0),
MAX(0,$O$33-SUMPRODUCT($T$9:$T10,AB$9:AB10)-SUM(AC$9:AC10)-SUM(AD$9:AD9)),
MAX(0,$P$33-SUM($U$33:AA$33)-SUMPRODUCT($T$9:$T10,AB$9:AB10)-SUM(AC$9:AC10)-SUM(AD$9:AD9))
)</f>
        <v>0</v>
      </c>
      <c r="AE10" s="97">
        <f>C10-SUM(V10:AD10)</f>
        <v>0</v>
      </c>
    </row>
    <row r="11" spans="1:33" s="66" customFormat="1" ht="17.100000000000001" customHeight="1">
      <c r="A11" s="92" t="s">
        <v>110</v>
      </c>
      <c r="B11" s="90">
        <f>'Cost Estimator'!D16</f>
        <v>0</v>
      </c>
      <c r="C11" s="91">
        <f>B11*Asmpt!$B19</f>
        <v>0</v>
      </c>
      <c r="E11" s="90">
        <f>ROUND(E$72*B11,0)</f>
        <v>0</v>
      </c>
      <c r="F11" s="91">
        <f t="shared" si="0"/>
        <v>0</v>
      </c>
      <c r="G11" s="92"/>
      <c r="H11" s="90">
        <f>IF(E$71&lt;4,B11-E11,ROUND(H$72*B11,0))</f>
        <v>0</v>
      </c>
      <c r="I11" s="91">
        <f t="shared" si="1"/>
        <v>0</v>
      </c>
      <c r="J11" s="92"/>
      <c r="K11" s="93">
        <f t="shared" si="2"/>
        <v>0</v>
      </c>
      <c r="L11" s="91">
        <f t="shared" si="3"/>
        <v>0</v>
      </c>
      <c r="N11" s="66" t="str">
        <f t="shared" si="4"/>
        <v>Primary Care Office Visits</v>
      </c>
      <c r="O11" s="94">
        <f>Asmpt!$C$64</f>
        <v>0</v>
      </c>
      <c r="P11" s="95">
        <f>Asmpt!$C$65</f>
        <v>0</v>
      </c>
      <c r="Q11" s="94">
        <f>Asmpt!$C$66</f>
        <v>0</v>
      </c>
      <c r="R11" s="95">
        <f>Asmpt!$C$67</f>
        <v>1</v>
      </c>
      <c r="S11" s="96">
        <f>IF(Asmpt!$C$68=0,0,Asmpt!$C$46)</f>
        <v>0.2</v>
      </c>
      <c r="T11" s="89">
        <f>Asmpt!$C$51</f>
        <v>1</v>
      </c>
      <c r="U11" s="93"/>
      <c r="V11" s="97">
        <f>IF(E11=0,0,
MIN(
$O11*MAX(E11-CEILING($Q11+$P11*MIN($O$32-SUM(W$9:W10),$P$32-SUM(W$9:W10,$U$35:U$35))/(F11/E11),1),0),
MAX(0,$O$33-SUMPRODUCT($T$9:$T10,V$9:V10)-SUM(W$9:X10)),
MAX(0,$P$33-SUM($U$33:U$33)-SUMPRODUCT($T$9:$T10,V$9:V10)-SUM(W$9:X10))
)
)</f>
        <v>0</v>
      </c>
      <c r="W11" s="97">
        <f>MIN(
$R11*MAX(F11-V11-MIN(F11,$Q11),0),
MAX(0,$O$32-SUM(W$9:W10)),
MAX(0,$P$32-SUM($U$35:U$35)-SUM(W$9:W10)),
MAX(0,$O$33-SUMPRODUCT($T$9:$T11,V$9:V11)-SUM(W$9:X10)),
MAX(0,$P$33-SUM($U$33:U$33)-SUMPRODUCT($T$9:$T11,V$9:V11)-SUM(W$9:X10))
)</f>
        <v>0</v>
      </c>
      <c r="X11" s="97">
        <f>MIN(
$S11*MAX(F11-$Q11-V11-W11,0),
MAX(0,$O$33-SUMPRODUCT($T$9:$T11,V$9:V11)-SUM(W$9:W11)-SUM(X$9:X10)),
MAX(0,$P$33-SUM($U$33:U$33)-SUMPRODUCT($T$9:$T11,V$9:V11)-SUM(W$9:W11)-SUM(X$9:X10))
)</f>
        <v>0</v>
      </c>
      <c r="Y11" s="97">
        <f>IF(H11=0,0,
MIN(
$O11*MAX(H11-CEILING($Q11+$P11*MIN($O$32-SUM(Z$9:Z10),$P$32-SUM(Z$9:Z10,$U$35:X$35))/(I11/H11),1),0),
MAX(0,$O$33-SUMPRODUCT($T$9:$T10,Y$9:Y10)-SUM(Z$9:AA10)),
MAX(0,$P$33-SUM($U$33:X$33)-SUMPRODUCT($T$9:$T10,Y$9:Y10)-SUM(Z$9:AA10))
)
)</f>
        <v>0</v>
      </c>
      <c r="Z11" s="97">
        <f>MIN(
$R11*MAX(I11-Y11-MIN(I11,$Q11),0),
MAX(0,$O$32-SUM(Z$9:Z10)),
MAX(0,$P$32-SUM($U$35:X$35)-SUM(Z$9:Z10)),
MAX(0,$O$33-SUMPRODUCT($T$9:$T11,Y$9:Y11)-SUM(Z$9:AA10)),
MAX(0,$P$33-SUM($U$33:X$33)-SUMPRODUCT($T$9:$T11,Y$9:Y11)-SUM(Z$9:AA10))
)</f>
        <v>0</v>
      </c>
      <c r="AA11" s="97">
        <f>MIN(
$S11*MAX(I11-$Q11-Y11-Z11,0),
MAX(0,$O$33-SUMPRODUCT($T$9:$T11,Y$9:Y11)-SUM(Z$9:Z11)-SUM(AA$9:AA10)),
MAX(0,$P$33-SUM($U$33:X$33)-SUMPRODUCT($T$9:$T11,Y$9:Y11)-SUM(Z$9:Z11)-SUM(AA$9:AA10))
)</f>
        <v>0</v>
      </c>
      <c r="AB11" s="97">
        <f>IF(K11=0,0,
MIN(
$O11*MAX(K11-CEILING($Q11+$P11*MIN($O$32-SUM(AC$9:AC10),$P$32-SUM(AC$9:AC10,$U$35:AA$35))/(L11/K11),1),0),
MAX(0,$O$33-SUMPRODUCT($T$9:$T10,AB$9:AB10)-SUM(AC$9:AD10)),
MAX(0,$P$33-SUM($U$33:AA$33)-SUMPRODUCT($T$9:$T10,AB$9:AB10)-SUM(AC$9:AD10))
)
)</f>
        <v>0</v>
      </c>
      <c r="AC11" s="97">
        <f>MIN(
$R11*MAX(L11-AB11-MIN(L11,$Q11),0),
MAX(0,$O$32-SUM(AC$9:AC10)),
MAX(0,$P$32-SUM($U$35:AA$35)-SUM(AC$9:AC10)),
MAX(0,$O$33-SUMPRODUCT($T$9:$T11,AB$9:AB11)-SUM(AC$9:AD10)),
MAX(0,$P$33-SUM($U$33:AA$33)-SUMPRODUCT($T$9:$T11,AB$9:AB11)-SUM(AC$9:AD10))
)</f>
        <v>0</v>
      </c>
      <c r="AD11" s="97">
        <f>MIN(
$S11*MAX(L11-$Q11-AB11-AC11,0),
MAX(0,$O$33-SUMPRODUCT($T$9:$T11,AB$9:AB11)-SUM(AC$9:AC11)-SUM(AD$9:AD10)),
MAX(0,$P$33-SUM($U$33:AA$33)-SUMPRODUCT($T$9:$T11,AB$9:AB11)-SUM(AC$9:AC11)-SUM(AD$9:AD10))
)</f>
        <v>0</v>
      </c>
      <c r="AE11" s="97">
        <f>C11-SUM(V11:AD11)</f>
        <v>0</v>
      </c>
    </row>
    <row r="12" spans="1:33" s="66" customFormat="1" ht="17.100000000000001" customHeight="1">
      <c r="A12" s="92" t="s">
        <v>234</v>
      </c>
      <c r="B12" s="90">
        <f>'Cost Estimator'!E16</f>
        <v>0</v>
      </c>
      <c r="C12" s="91">
        <f>B12*Asmpt!$B20</f>
        <v>0</v>
      </c>
      <c r="E12" s="90">
        <f>ROUND(E$72*B12,0)</f>
        <v>0</v>
      </c>
      <c r="F12" s="91">
        <f t="shared" ref="F12" si="5">IF($B12=0,0,$C12/$B12*E12)</f>
        <v>0</v>
      </c>
      <c r="G12" s="92"/>
      <c r="H12" s="90">
        <f>IF(E$71&lt;4,B12-E12,ROUND(H$72*B12,0))</f>
        <v>0</v>
      </c>
      <c r="I12" s="91">
        <f t="shared" ref="I12" si="6">IF($B12=0,0,$C12/$B12*H12)</f>
        <v>0</v>
      </c>
      <c r="J12" s="92"/>
      <c r="K12" s="93">
        <f t="shared" ref="K12" si="7">B12-E12-H12</f>
        <v>0</v>
      </c>
      <c r="L12" s="91">
        <f t="shared" ref="L12" si="8">IF($B12=0,0,$C12/$B12*K12)</f>
        <v>0</v>
      </c>
      <c r="N12" s="66" t="str">
        <f t="shared" si="4"/>
        <v>Physical or Occupational Therapy/Massage</v>
      </c>
      <c r="O12" s="94">
        <f>Asmpt!$C$70</f>
        <v>0</v>
      </c>
      <c r="P12" s="95">
        <f>Asmpt!$C$71</f>
        <v>0</v>
      </c>
      <c r="Q12" s="94">
        <f>Asmpt!$C$72</f>
        <v>0</v>
      </c>
      <c r="R12" s="95">
        <f>Asmpt!$C$73</f>
        <v>1</v>
      </c>
      <c r="S12" s="96">
        <f>IF(Asmpt!$C$74=0,0,Asmpt!$C$46)</f>
        <v>0.2</v>
      </c>
      <c r="T12" s="89">
        <f>Asmpt!$C$51</f>
        <v>1</v>
      </c>
      <c r="U12" s="93"/>
      <c r="V12" s="97">
        <f>IF(E12=0,0,
MIN(
$O12*MAX(E12-CEILING($Q12+$P12*MIN($O$32-SUM(W$9:W11),$P$32-SUM(W$9:W11,$U$35:U$35))/(F12/E12),1),0),
MAX(0,$O$33-SUMPRODUCT($T$9:$T11,V$9:V11)-SUM(W$9:X11)),
MAX(0,$P$33-SUM($U$33:U$33)-SUMPRODUCT($T$9:$T11,V$9:V11)-SUM(W$9:X11))
)
)</f>
        <v>0</v>
      </c>
      <c r="W12" s="97">
        <f>MIN(
$R12*MAX(F12-V12-MIN(F12,$Q12),0),
MAX(0,$O$32-SUM(W$9:W11)),
MAX(0,$P$32-SUM($U$35:U$35)-SUM(W$9:W11)),
MAX(0,$O$33-SUMPRODUCT($T$9:$T12,V$9:V12)-SUM(W$9:X11)),
MAX(0,$P$33-SUM($U$33:U$33)-SUMPRODUCT($T$9:$T12,V$9:V12)-SUM(W$9:X11))
)</f>
        <v>0</v>
      </c>
      <c r="X12" s="97">
        <f>MIN(
$S12*MAX(F12-$Q12-V12-W12,0),
MAX(0,$O$33-SUMPRODUCT($T$9:$T12,V$9:V12)-SUM(W$9:W12)-SUM(X$9:X11)),
MAX(0,$P$33-SUM($U$33:U$33)-SUMPRODUCT($T$9:$T12,V$9:V12)-SUM(W$9:W12)-SUM(X$9:X11))
)</f>
        <v>0</v>
      </c>
      <c r="Y12" s="97">
        <f>IF(H12=0,0,
MIN(
$O12*MAX(H12-CEILING($Q12+$P12*MIN($O$32-SUM(Z$9:Z11),$P$32-SUM(Z$9:Z11,$U$35:X$35))/(I12/H12),1),0),
MAX(0,$O$33-SUMPRODUCT($T$9:$T11,Y$9:Y11)-SUM(Z$9:AA11)),
MAX(0,$P$33-SUM($U$33:X$33)-SUMPRODUCT($T$9:$T11,Y$9:Y11)-SUM(Z$9:AA11))
)
)</f>
        <v>0</v>
      </c>
      <c r="Z12" s="97">
        <f>MIN(
$R12*MAX(I12-Y12-MIN(I12,$Q12),0),
MAX(0,$O$32-SUM(Z$9:Z11)),
MAX(0,$P$32-SUM($U$35:X$35)-SUM(Z$9:Z11)),
MAX(0,$O$33-SUMPRODUCT($T$9:$T12,Y$9:Y12)-SUM(Z$9:AA11)),
MAX(0,$P$33-SUM($U$33:X$33)-SUMPRODUCT($T$9:$T12,Y$9:Y12)-SUM(Z$9:AA11))
)</f>
        <v>0</v>
      </c>
      <c r="AA12" s="97">
        <f>MIN(
$S12*MAX(I12-$Q12-Y12-Z12,0),
MAX(0,$O$33-SUMPRODUCT($T$9:$T12,Y$9:Y12)-SUM(Z$9:Z12)-SUM(AA$9:AA11)),
MAX(0,$P$33-SUM($U$33:X$33)-SUMPRODUCT($T$9:$T12,Y$9:Y12)-SUM(Z$9:Z12)-SUM(AA$9:AA11))
)</f>
        <v>0</v>
      </c>
      <c r="AB12" s="97">
        <f>IF(K12=0,0,
MIN(
$O12*MAX(K12-CEILING($Q12+$P12*MIN($O$32-SUM(AC$9:AC11),$P$32-SUM(AC$9:AC11,$U$35:AA$35))/(L12/K12),1),0),
MAX(0,$O$33-SUMPRODUCT($T$9:$T11,AB$9:AB11)-SUM(AC$9:AD11)),
MAX(0,$P$33-SUM($U$33:AA$33)-SUMPRODUCT($T$9:$T11,AB$9:AB11)-SUM(AC$9:AD11))
)
)</f>
        <v>0</v>
      </c>
      <c r="AC12" s="97">
        <f>MIN(
$R12*MAX(L12-AB12-MIN(L12,$Q12),0),
MAX(0,$O$32-SUM(AC$9:AC11)),
MAX(0,$P$32-SUM($U$35:AA$35)-SUM(AC$9:AC11)),
MAX(0,$O$33-SUMPRODUCT($T$9:$T12,AB$9:AB12)-SUM(AC$9:AD11)),
MAX(0,$P$33-SUM($U$33:AA$33)-SUMPRODUCT($T$9:$T12,AB$9:AB12)-SUM(AC$9:AD11))
)</f>
        <v>0</v>
      </c>
      <c r="AD12" s="97">
        <f>MIN(
$S12*MAX(L12-$Q12-AB12-AC12,0),
MAX(0,$O$33-SUMPRODUCT($T$9:$T12,AB$9:AB12)-SUM(AC$9:AC12)-SUM(AD$9:AD11)),
MAX(0,$P$33-SUM($U$33:AA$33)-SUMPRODUCT($T$9:$T12,AB$9:AB12)-SUM(AC$9:AC12)-SUM(AD$9:AD11))
)</f>
        <v>0</v>
      </c>
      <c r="AE12" s="97">
        <f t="shared" ref="AE12:AE13" si="9">C12-SUM(V12:AD12)</f>
        <v>0</v>
      </c>
    </row>
    <row r="13" spans="1:33" s="66" customFormat="1" ht="17.100000000000001" customHeight="1">
      <c r="A13" s="92" t="s">
        <v>233</v>
      </c>
      <c r="B13" s="90">
        <f>'Cost Estimator'!F16</f>
        <v>0</v>
      </c>
      <c r="C13" s="91">
        <f>B13*Asmpt!$B21</f>
        <v>0</v>
      </c>
      <c r="E13" s="90">
        <f t="shared" ref="E13:E29" si="10">ROUND(E$72*B13,0)</f>
        <v>0</v>
      </c>
      <c r="F13" s="91">
        <f t="shared" si="0"/>
        <v>0</v>
      </c>
      <c r="G13" s="92"/>
      <c r="H13" s="90">
        <f t="shared" ref="H13:H29" si="11">IF(E$71&lt;4,B13-E13,ROUND(H$72*B13,0))</f>
        <v>0</v>
      </c>
      <c r="I13" s="91">
        <f t="shared" si="1"/>
        <v>0</v>
      </c>
      <c r="J13" s="92"/>
      <c r="K13" s="93">
        <f t="shared" si="2"/>
        <v>0</v>
      </c>
      <c r="L13" s="91">
        <f t="shared" si="3"/>
        <v>0</v>
      </c>
      <c r="N13" s="66" t="str">
        <f t="shared" si="4"/>
        <v>Chiro/Accupuncture</v>
      </c>
      <c r="O13" s="94">
        <f>Asmpt!$C$76</f>
        <v>0</v>
      </c>
      <c r="P13" s="95">
        <f>Asmpt!$C$77</f>
        <v>0</v>
      </c>
      <c r="Q13" s="94">
        <f>Asmpt!$C$78</f>
        <v>0</v>
      </c>
      <c r="R13" s="95">
        <f>Asmpt!$C$79</f>
        <v>1</v>
      </c>
      <c r="S13" s="96">
        <f>IF(Asmpt!$C$80=0,0,Asmpt!$C$46)</f>
        <v>0.2</v>
      </c>
      <c r="T13" s="89">
        <f>Asmpt!$C$51</f>
        <v>1</v>
      </c>
      <c r="U13" s="93"/>
      <c r="V13" s="97">
        <f>IF(E13=0,0,
MIN(
$O13*MAX(E13-CEILING($Q13+$P13*MIN($O$32-SUM(W$9:W12),$P$32-SUM(W$9:W12,$U$35:U$35))/(F13/E13),1),0),
MAX(0,$O$33-SUMPRODUCT($T$9:$T12,V$9:V12)-SUM(W$9:X12)),
MAX(0,$P$33-SUM($U$33:U$33)-SUMPRODUCT($T$9:$T12,V$9:V12)-SUM(W$9:X12))
)
)</f>
        <v>0</v>
      </c>
      <c r="W13" s="97">
        <f>MIN(
$R13*MAX(F13-V13-MIN(F13,$Q13),0),
MAX(0,$O$32-SUM(W$9:W12)),
MAX(0,$P$32-SUM($U$35:U$35)-SUM(W$9:W12)),
MAX(0,$O$33-SUMPRODUCT($T$9:$T13,V$9:V13)-SUM(W$9:X12)),
MAX(0,$P$33-SUM($U$33:U$33)-SUMPRODUCT($T$9:$T13,V$9:V13)-SUM(W$9:X12))
)</f>
        <v>0</v>
      </c>
      <c r="X13" s="97">
        <f>MIN(
$S13*MAX(F13-$Q13-V13-W13,0),
MAX(0,$O$33-SUMPRODUCT($T$9:$T13,V$9:V13)-SUM(W$9:W13)-SUM(X$9:X12)),
MAX(0,$P$33-SUM($U$33:U$33)-SUMPRODUCT($T$9:$T13,V$9:V13)-SUM(W$9:W13)-SUM(X$9:X12))
)</f>
        <v>0</v>
      </c>
      <c r="Y13" s="97">
        <f>IF(H13=0,0,
MIN(
$O13*MAX(H13-CEILING($Q13+$P13*MIN($O$32-SUM(Z$9:Z12),$P$32-SUM(Z$9:Z12,$U$35:X$35))/(I13/H13),1),0),
MAX(0,$O$33-SUMPRODUCT($T$9:$T12,Y$9:Y12)-SUM(Z$9:AA12)),
MAX(0,$P$33-SUM($U$33:X$33)-SUMPRODUCT($T$9:$T12,Y$9:Y12)-SUM(Z$9:AA12))
)
)</f>
        <v>0</v>
      </c>
      <c r="Z13" s="97">
        <f>MIN(
$R13*MAX(I13-Y13-MIN(I13,$Q13),0),
MAX(0,$O$32-SUM(Z$9:Z12)),
MAX(0,$P$32-SUM($U$35:X$35)-SUM(Z$9:Z12)),
MAX(0,$O$33-SUMPRODUCT($T$9:$T13,Y$9:Y13)-SUM(Z$9:AA12)),
MAX(0,$P$33-SUM($U$33:X$33)-SUMPRODUCT($T$9:$T13,Y$9:Y13)-SUM(Z$9:AA12))
)</f>
        <v>0</v>
      </c>
      <c r="AA13" s="97">
        <f>MIN(
$S13*MAX(I13-$Q13-Y13-Z13,0),
MAX(0,$O$33-SUMPRODUCT($T$9:$T13,Y$9:Y13)-SUM(Z$9:Z13)-SUM(AA$9:AA12)),
MAX(0,$P$33-SUM($U$33:X$33)-SUMPRODUCT($T$9:$T13,Y$9:Y13)-SUM(Z$9:Z13)-SUM(AA$9:AA12))
)</f>
        <v>0</v>
      </c>
      <c r="AB13" s="97">
        <f>IF(K13=0,0,
MIN(
$O13*MAX(K13-CEILING($Q13+$P13*MIN($O$32-SUM(AC$9:AC12),$P$32-SUM(AC$9:AC12,$U$35:AA$35))/(L13/K13),1),0),
MAX(0,$O$33-SUMPRODUCT($T$9:$T12,AB$9:AB12)-SUM(AC$9:AD12)),
MAX(0,$P$33-SUM($U$33:AA$33)-SUMPRODUCT($T$9:$T12,AB$9:AB12)-SUM(AC$9:AD12))
)
)</f>
        <v>0</v>
      </c>
      <c r="AC13" s="97">
        <f>MIN(
$R13*MAX(L13-AB13-MIN(L13,$Q13),0),
MAX(0,$O$32-SUM(AC$9:AC12)),
MAX(0,$P$32-SUM($U$35:AA$35)-SUM(AC$9:AC12)),
MAX(0,$O$33-SUMPRODUCT($T$9:$T13,AB$9:AB13)-SUM(AC$9:AD12)),
MAX(0,$P$33-SUM($U$33:AA$33)-SUMPRODUCT($T$9:$T13,AB$9:AB13)-SUM(AC$9:AD12))
)</f>
        <v>0</v>
      </c>
      <c r="AD13" s="97">
        <f>MIN(
$S13*MAX(L13-$Q13-AB13-AC13,0),
MAX(0,$O$33-SUMPRODUCT($T$9:$T13,AB$9:AB13)-SUM(AC$9:AC13)-SUM(AD$9:AD12)),
MAX(0,$P$33-SUM($U$33:AA$33)-SUMPRODUCT($T$9:$T13,AB$9:AB13)-SUM(AC$9:AC13)-SUM(AD$9:AD12))
)</f>
        <v>0</v>
      </c>
      <c r="AE13" s="97">
        <f t="shared" si="9"/>
        <v>0</v>
      </c>
    </row>
    <row r="14" spans="1:33" s="66" customFormat="1" ht="17.100000000000001" customHeight="1">
      <c r="A14" s="92" t="s">
        <v>111</v>
      </c>
      <c r="B14" s="90">
        <f>'Cost Estimator'!G16</f>
        <v>0</v>
      </c>
      <c r="C14" s="91">
        <f>B14*Asmpt!$B22</f>
        <v>0</v>
      </c>
      <c r="E14" s="90">
        <f t="shared" si="10"/>
        <v>0</v>
      </c>
      <c r="F14" s="91">
        <f t="shared" si="0"/>
        <v>0</v>
      </c>
      <c r="G14" s="92"/>
      <c r="H14" s="90">
        <f t="shared" si="11"/>
        <v>0</v>
      </c>
      <c r="I14" s="91">
        <f t="shared" si="1"/>
        <v>0</v>
      </c>
      <c r="J14" s="92"/>
      <c r="K14" s="93">
        <f t="shared" si="2"/>
        <v>0</v>
      </c>
      <c r="L14" s="91">
        <f t="shared" si="3"/>
        <v>0</v>
      </c>
      <c r="N14" s="66" t="str">
        <f t="shared" si="4"/>
        <v>Specialist Office Visits</v>
      </c>
      <c r="O14" s="94">
        <f>Asmpt!$C$82</f>
        <v>0</v>
      </c>
      <c r="P14" s="95">
        <f>Asmpt!$C$83</f>
        <v>0</v>
      </c>
      <c r="Q14" s="94">
        <f>Asmpt!$C$84</f>
        <v>0</v>
      </c>
      <c r="R14" s="95">
        <f>Asmpt!$C$85</f>
        <v>1</v>
      </c>
      <c r="S14" s="96">
        <f>IF(Asmpt!$C$86=0,0,Asmpt!$C$46)</f>
        <v>0.2</v>
      </c>
      <c r="T14" s="89">
        <f>Asmpt!$C$51</f>
        <v>1</v>
      </c>
      <c r="U14" s="93"/>
      <c r="V14" s="97">
        <f>IF(E14=0,0,
MIN(
$O14*MAX(E14-CEILING($Q14+$P14*MIN($O$32-SUM(W$9:W13),$P$32-SUM(W$9:W13,$U$35:U$35))/(F14/E14),1),0),
MAX(0,$O$33-SUMPRODUCT($T$9:$T13,V$9:V13)-SUM(W$9:X13)),
MAX(0,$P$33-SUM($U$33:U$33)-SUMPRODUCT($T$9:$T13,V$9:V13)-SUM(W$9:X13))
)
)</f>
        <v>0</v>
      </c>
      <c r="W14" s="97">
        <f>MIN(
$R14*MAX(F14-V14-MIN(F14,$Q14),0),
MAX(0,$O$32-SUM(W$9:W13)),
MAX(0,$P$32-SUM($U$35:U$35)-SUM(W$9:W13)),
MAX(0,$O$33-SUMPRODUCT($T$9:$T14,V$9:V14)-SUM(W$9:X13)),
MAX(0,$P$33-SUM($U$33:U$33)-SUMPRODUCT($T$9:$T14,V$9:V14)-SUM(W$9:X13))
)</f>
        <v>0</v>
      </c>
      <c r="X14" s="97">
        <f>MIN(
$S14*MAX(F14-$Q14-V14-W14,0),
MAX(0,$O$33-SUMPRODUCT($T$9:$T14,V$9:V14)-SUM(W$9:W14)-SUM(X$9:X13)),
MAX(0,$P$33-SUM($U$33:U$33)-SUMPRODUCT($T$9:$T14,V$9:V14)-SUM(W$9:W14)-SUM(X$9:X13))
)</f>
        <v>0</v>
      </c>
      <c r="Y14" s="97">
        <f>IF(H14=0,0,
MIN(
$O14*MAX(H14-CEILING($Q14+$P14*MIN($O$32-SUM(Z$9:Z13),$P$32-SUM(Z$9:Z13,$U$35:X$35))/(I14/H14),1),0),
MAX(0,$O$33-SUMPRODUCT($T$9:$T13,Y$9:Y13)-SUM(Z$9:AA13)),
MAX(0,$P$33-SUM($U$33:X$33)-SUMPRODUCT($T$9:$T13,Y$9:Y13)-SUM(Z$9:AA13))
)
)</f>
        <v>0</v>
      </c>
      <c r="Z14" s="97">
        <f>MIN(
$R14*MAX(I14-Y14-MIN(I14,$Q14),0),
MAX(0,$O$32-SUM(Z$9:Z13)),
MAX(0,$P$32-SUM($U$35:X$35)-SUM(Z$9:Z13)),
MAX(0,$O$33-SUMPRODUCT($T$9:$T14,Y$9:Y14)-SUM(Z$9:AA13)),
MAX(0,$P$33-SUM($U$33:X$33)-SUMPRODUCT($T$9:$T14,Y$9:Y14)-SUM(Z$9:AA13))
)</f>
        <v>0</v>
      </c>
      <c r="AA14" s="97">
        <f>MIN(
$S14*MAX(I14-$Q14-Y14-Z14,0),
MAX(0,$O$33-SUMPRODUCT($T$9:$T14,Y$9:Y14)-SUM(Z$9:Z14)-SUM(AA$9:AA13)),
MAX(0,$P$33-SUM($U$33:X$33)-SUMPRODUCT($T$9:$T14,Y$9:Y14)-SUM(Z$9:Z14)-SUM(AA$9:AA13))
)</f>
        <v>0</v>
      </c>
      <c r="AB14" s="97">
        <f>IF(K14=0,0,
MIN(
$O14*MAX(K14-CEILING($Q14+$P14*MIN($O$32-SUM(AC$9:AC13),$P$32-SUM(AC$9:AC13,$U$35:AA$35))/(L14/K14),1),0),
MAX(0,$O$33-SUMPRODUCT($T$9:$T13,AB$9:AB13)-SUM(AC$9:AD13)),
MAX(0,$P$33-SUM($U$33:AA$33)-SUMPRODUCT($T$9:$T13,AB$9:AB13)-SUM(AC$9:AD13))
)
)</f>
        <v>0</v>
      </c>
      <c r="AC14" s="97">
        <f>MIN(
$R14*MAX(L14-AB14-MIN(L14,$Q14),0),
MAX(0,$O$32-SUM(AC$9:AC13)),
MAX(0,$P$32-SUM($U$35:AA$35)-SUM(AC$9:AC13)),
MAX(0,$O$33-SUMPRODUCT($T$9:$T14,AB$9:AB14)-SUM(AC$9:AD13)),
MAX(0,$P$33-SUM($U$33:AA$33)-SUMPRODUCT($T$9:$T14,AB$9:AB14)-SUM(AC$9:AD13))
)</f>
        <v>0</v>
      </c>
      <c r="AD14" s="97">
        <f>MIN(
$S14*MAX(L14-$Q14-AB14-AC14,0),
MAX(0,$O$33-SUMPRODUCT($T$9:$T14,AB$9:AB14)-SUM(AC$9:AC14)-SUM(AD$9:AD13)),
MAX(0,$P$33-SUM($U$33:AA$33)-SUMPRODUCT($T$9:$T14,AB$9:AB14)-SUM(AC$9:AC14)-SUM(AD$9:AD13))
)</f>
        <v>0</v>
      </c>
      <c r="AE14" s="97">
        <f t="shared" ref="AE14" si="12">C14-SUM(V14:AD14)</f>
        <v>0</v>
      </c>
    </row>
    <row r="15" spans="1:33" s="66" customFormat="1" ht="17.100000000000001" customHeight="1">
      <c r="A15" s="92" t="s">
        <v>215</v>
      </c>
      <c r="B15" s="90">
        <f>'Cost Estimator'!F23</f>
        <v>0</v>
      </c>
      <c r="C15" s="91">
        <f>B15*Asmpt!$B23</f>
        <v>0</v>
      </c>
      <c r="E15" s="90">
        <f t="shared" si="10"/>
        <v>0</v>
      </c>
      <c r="F15" s="91">
        <f t="shared" si="0"/>
        <v>0</v>
      </c>
      <c r="G15" s="92"/>
      <c r="H15" s="90">
        <f t="shared" si="11"/>
        <v>0</v>
      </c>
      <c r="I15" s="91">
        <f t="shared" si="1"/>
        <v>0</v>
      </c>
      <c r="J15" s="92"/>
      <c r="K15" s="93">
        <f t="shared" si="2"/>
        <v>0</v>
      </c>
      <c r="L15" s="91">
        <f t="shared" si="3"/>
        <v>0</v>
      </c>
      <c r="N15" s="66" t="str">
        <f t="shared" si="4"/>
        <v>Retail Preferred Generic</v>
      </c>
      <c r="O15" s="94">
        <f>Asmpt!$C$88</f>
        <v>0</v>
      </c>
      <c r="P15" s="95">
        <f>Asmpt!$C$89</f>
        <v>0</v>
      </c>
      <c r="Q15" s="94">
        <f>Asmpt!$C$90</f>
        <v>0</v>
      </c>
      <c r="R15" s="95">
        <f>Asmpt!$C$91</f>
        <v>1</v>
      </c>
      <c r="S15" s="96">
        <f>IF(Asmpt!$C$92=0,0,Asmpt!$C$47)</f>
        <v>0.2</v>
      </c>
      <c r="T15" s="89">
        <f>Asmpt!$C$51</f>
        <v>1</v>
      </c>
      <c r="U15" s="93"/>
      <c r="V15" s="97">
        <f>IF(E15=0,0,
MIN(
$O15*MAX(E15-CEILING($Q15+$P15*MIN($O$32-SUM(W$9:W14),$P$32-SUM(W$9:W14,$U$35:U$35))/(F15/E15),1),0),
MAX(0,$O$33-SUMPRODUCT($T$9:$T14,V$9:V14)-SUM(W$9:X14)),
MAX(0,$P$33-SUM($U$33:U$33)-SUMPRODUCT($T$9:$T14,V$9:V14)-SUM(W$9:X14))
)
)</f>
        <v>0</v>
      </c>
      <c r="W15" s="97">
        <f>MIN(
$R15*MAX(F15-V15-MIN(F15,$Q15),0),
MAX(0,$O$32-SUM(W$9:W14)),
MAX(0,$P$32-SUM($U$35:U$35)-SUM(W$9:W14)),
MAX(0,$O$33-SUMPRODUCT($T$9:$T15,V$9:V15)-SUM(W$9:X14)),
MAX(0,$P$33-SUM($U$33:U$33)-SUMPRODUCT($T$9:$T15,V$9:V15)-SUM(W$9:X14))
)</f>
        <v>0</v>
      </c>
      <c r="X15" s="97">
        <f>MIN(
$S15*MAX(F15-$Q15-V15-W15,0),
MAX(0,$O$33-SUMPRODUCT($T$9:$T15,V$9:V15)-SUM(W$9:W15)-SUM(X$9:X14)),
MAX(0,$P$33-SUM($U$33:U$33)-SUMPRODUCT($T$9:$T15,V$9:V15)-SUM(W$9:W15)-SUM(X$9:X14))
)</f>
        <v>0</v>
      </c>
      <c r="Y15" s="97">
        <f>IF(H15=0,0,
MIN(
$O15*MAX(H15-CEILING($Q15+$P15*MIN($O$32-SUM(Z$9:Z14),$P$32-SUM(Z$9:Z14,$U$35:X$35))/(I15/H15),1),0),
MAX(0,$O$33-SUMPRODUCT($T$9:$T14,Y$9:Y14)-SUM(Z$9:AA14)),
MAX(0,$P$33-SUM($U$33:X$33)-SUMPRODUCT($T$9:$T14,Y$9:Y14)-SUM(Z$9:AA14))
)
)</f>
        <v>0</v>
      </c>
      <c r="Z15" s="97">
        <f>MIN(
$R15*MAX(I15-Y15-MIN(I15,$Q15),0),
MAX(0,$O$32-SUM(Z$9:Z14)),
MAX(0,$P$32-SUM($U$35:X$35)-SUM(Z$9:Z14)),
MAX(0,$O$33-SUMPRODUCT($T$9:$T15,Y$9:Y15)-SUM(Z$9:AA14)),
MAX(0,$P$33-SUM($U$33:X$33)-SUMPRODUCT($T$9:$T15,Y$9:Y15)-SUM(Z$9:AA14))
)</f>
        <v>0</v>
      </c>
      <c r="AA15" s="97">
        <f>MIN(
$S15*MAX(I15-$Q15-Y15-Z15,0),
MAX(0,$O$33-SUMPRODUCT($T$9:$T15,Y$9:Y15)-SUM(Z$9:Z15)-SUM(AA$9:AA14)),
MAX(0,$P$33-SUM($U$33:X$33)-SUMPRODUCT($T$9:$T15,Y$9:Y15)-SUM(Z$9:Z15)-SUM(AA$9:AA14))
)</f>
        <v>0</v>
      </c>
      <c r="AB15" s="97">
        <f>IF(K15=0,0,
MIN(
$O15*MAX(K15-CEILING($Q15+$P15*MIN($O$32-SUM(AC$9:AC14),$P$32-SUM(AC$9:AC14,$U$35:AA$35))/(L15/K15),1),0),
MAX(0,$O$33-SUMPRODUCT($T$9:$T14,AB$9:AB14)-SUM(AC$9:AD14)),
MAX(0,$P$33-SUM($U$33:AA$33)-SUMPRODUCT($T$9:$T14,AB$9:AB14)-SUM(AC$9:AD14))
)
)</f>
        <v>0</v>
      </c>
      <c r="AC15" s="97">
        <f>MIN(
$R15*MAX(L15-AB15-MIN(L15,$Q15),0),
MAX(0,$O$32-SUM(AC$9:AC14)),
MAX(0,$P$32-SUM($U$35:AA$35)-SUM(AC$9:AC14)),
MAX(0,$O$33-SUMPRODUCT($T$9:$T15,AB$9:AB15)-SUM(AC$9:AD14)),
MAX(0,$P$33-SUM($U$33:AA$33)-SUMPRODUCT($T$9:$T15,AB$9:AB15)-SUM(AC$9:AD14))
)</f>
        <v>0</v>
      </c>
      <c r="AD15" s="97">
        <f>MIN(
$S15*MAX(L15-$Q15-AB15-AC15,0),
MAX(0,$O$33-SUMPRODUCT($T$9:$T15,AB$9:AB15)-SUM(AC$9:AC15)-SUM(AD$9:AD14)),
MAX(0,$P$33-SUM($U$33:AA$33)-SUMPRODUCT($T$9:$T15,AB$9:AB15)-SUM(AC$9:AC15)-SUM(AD$9:AD14))
)</f>
        <v>0</v>
      </c>
      <c r="AE15" s="97">
        <f t="shared" ref="AE15:AE29" si="13">C15-SUM(V15:AD15)</f>
        <v>0</v>
      </c>
    </row>
    <row r="16" spans="1:33" s="66" customFormat="1" ht="17.100000000000001" customHeight="1">
      <c r="A16" s="92" t="s">
        <v>216</v>
      </c>
      <c r="B16" s="90">
        <f>'Cost Estimator'!F24</f>
        <v>0</v>
      </c>
      <c r="C16" s="91">
        <f>B16*Asmpt!$B24</f>
        <v>0</v>
      </c>
      <c r="E16" s="90">
        <f t="shared" si="10"/>
        <v>0</v>
      </c>
      <c r="F16" s="91">
        <f t="shared" si="0"/>
        <v>0</v>
      </c>
      <c r="G16" s="92"/>
      <c r="H16" s="90">
        <f t="shared" si="11"/>
        <v>0</v>
      </c>
      <c r="I16" s="91">
        <f t="shared" si="1"/>
        <v>0</v>
      </c>
      <c r="J16" s="92"/>
      <c r="K16" s="93">
        <f t="shared" si="2"/>
        <v>0</v>
      </c>
      <c r="L16" s="91">
        <f t="shared" si="3"/>
        <v>0</v>
      </c>
      <c r="N16" s="66" t="str">
        <f t="shared" si="4"/>
        <v>Retail Non-Preferred Generic</v>
      </c>
      <c r="O16" s="94">
        <f>Asmpt!$C$94</f>
        <v>0</v>
      </c>
      <c r="P16" s="95">
        <f>Asmpt!$C$95</f>
        <v>0</v>
      </c>
      <c r="Q16" s="94">
        <f>Asmpt!$C$96</f>
        <v>0</v>
      </c>
      <c r="R16" s="95">
        <f>Asmpt!$C$97</f>
        <v>1</v>
      </c>
      <c r="S16" s="96">
        <f>IF(Asmpt!$C$98=0,0,Asmpt!$C$47)</f>
        <v>0.2</v>
      </c>
      <c r="T16" s="89">
        <f>Asmpt!$C$51</f>
        <v>1</v>
      </c>
      <c r="U16" s="93"/>
      <c r="V16" s="97">
        <f>IF(E16=0,0,
MIN(
$O16*MAX(E16-CEILING($Q16+$P16*MIN($O$32-SUM(W$9:W15),$P$32-SUM(W$9:W15,$U$35:U$35))/(F16/E16),1),0),
MAX(0,$O$33-SUMPRODUCT($T$9:$T15,V$9:V15)-SUM(W$9:X15)),
MAX(0,$P$33-SUM($U$33:U$33)-SUMPRODUCT($T$9:$T15,V$9:V15)-SUM(W$9:X15))
)
)</f>
        <v>0</v>
      </c>
      <c r="W16" s="97">
        <f>MIN(
$R16*MAX(F16-V16-MIN(F16,$Q16),0),
MAX(0,$O$32-SUM(W$9:W15)),
MAX(0,$P$32-SUM($U$35:U$35)-SUM(W$9:W15)),
MAX(0,$O$33-SUMPRODUCT($T$9:$T16,V$9:V16)-SUM(W$9:X15)),
MAX(0,$P$33-SUM($U$33:U$33)-SUMPRODUCT($T$9:$T16,V$9:V16)-SUM(W$9:X15))
)</f>
        <v>0</v>
      </c>
      <c r="X16" s="97">
        <f>MIN(
$S16*MAX(F16-$Q16-V16-W16,0),
MAX(0,$O$33-SUMPRODUCT($T$9:$T16,V$9:V16)-SUM(W$9:W16)-SUM(X$9:X15)),
MAX(0,$P$33-SUM($U$33:U$33)-SUMPRODUCT($T$9:$T16,V$9:V16)-SUM(W$9:W16)-SUM(X$9:X15))
)</f>
        <v>0</v>
      </c>
      <c r="Y16" s="97">
        <f>IF(H16=0,0,
MIN(
$O16*MAX(H16-CEILING($Q16+$P16*MIN($O$32-SUM(Z$9:Z15),$P$32-SUM(Z$9:Z15,$U$35:X$35))/(I16/H16),1),0),
MAX(0,$O$33-SUMPRODUCT($T$9:$T15,Y$9:Y15)-SUM(Z$9:AA15)),
MAX(0,$P$33-SUM($U$33:X$33)-SUMPRODUCT($T$9:$T15,Y$9:Y15)-SUM(Z$9:AA15))
)
)</f>
        <v>0</v>
      </c>
      <c r="Z16" s="97">
        <f>MIN(
$R16*MAX(I16-Y16-MIN(I16,$Q16),0),
MAX(0,$O$32-SUM(Z$9:Z15)),
MAX(0,$P$32-SUM($U$35:X$35)-SUM(Z$9:Z15)),
MAX(0,$O$33-SUMPRODUCT($T$9:$T16,Y$9:Y16)-SUM(Z$9:AA15)),
MAX(0,$P$33-SUM($U$33:X$33)-SUMPRODUCT($T$9:$T16,Y$9:Y16)-SUM(Z$9:AA15))
)</f>
        <v>0</v>
      </c>
      <c r="AA16" s="97">
        <f>MIN(
$S16*MAX(I16-$Q16-Y16-Z16,0),
MAX(0,$O$33-SUMPRODUCT($T$9:$T16,Y$9:Y16)-SUM(Z$9:Z16)-SUM(AA$9:AA15)),
MAX(0,$P$33-SUM($U$33:X$33)-SUMPRODUCT($T$9:$T16,Y$9:Y16)-SUM(Z$9:Z16)-SUM(AA$9:AA15))
)</f>
        <v>0</v>
      </c>
      <c r="AB16" s="97">
        <f>IF(K16=0,0,
MIN(
$O16*MAX(K16-CEILING($Q16+$P16*MIN($O$32-SUM(AC$9:AC15),$P$32-SUM(AC$9:AC15,$U$35:AA$35))/(L16/K16),1),0),
MAX(0,$O$33-SUMPRODUCT($T$9:$T15,AB$9:AB15)-SUM(AC$9:AD15)),
MAX(0,$P$33-SUM($U$33:AA$33)-SUMPRODUCT($T$9:$T15,AB$9:AB15)-SUM(AC$9:AD15))
)
)</f>
        <v>0</v>
      </c>
      <c r="AC16" s="97">
        <f>MIN(
$R16*MAX(L16-AB16-MIN(L16,$Q16),0),
MAX(0,$O$32-SUM(AC$9:AC15)),
MAX(0,$P$32-SUM($U$35:AA$35)-SUM(AC$9:AC15)),
MAX(0,$O$33-SUMPRODUCT($T$9:$T16,AB$9:AB16)-SUM(AC$9:AD15)),
MAX(0,$P$33-SUM($U$33:AA$33)-SUMPRODUCT($T$9:$T16,AB$9:AB16)-SUM(AC$9:AD15))
)</f>
        <v>0</v>
      </c>
      <c r="AD16" s="97">
        <f>MIN(
$S16*MAX(L16-$Q16-AB16-AC16,0),
MAX(0,$O$33-SUMPRODUCT($T$9:$T16,AB$9:AB16)-SUM(AC$9:AC16)-SUM(AD$9:AD15)),
MAX(0,$P$33-SUM($U$33:AA$33)-SUMPRODUCT($T$9:$T16,AB$9:AB16)-SUM(AC$9:AC16)-SUM(AD$9:AD15))
)</f>
        <v>0</v>
      </c>
      <c r="AE16" s="97">
        <f t="shared" si="13"/>
        <v>0</v>
      </c>
    </row>
    <row r="17" spans="1:31" s="66" customFormat="1" ht="17.100000000000001" customHeight="1">
      <c r="A17" s="92" t="s">
        <v>112</v>
      </c>
      <c r="B17" s="90">
        <f>'Cost Estimator'!F25</f>
        <v>0</v>
      </c>
      <c r="C17" s="91">
        <f>B17*Asmpt!$B25</f>
        <v>0</v>
      </c>
      <c r="E17" s="90">
        <f t="shared" si="10"/>
        <v>0</v>
      </c>
      <c r="F17" s="91">
        <f t="shared" si="0"/>
        <v>0</v>
      </c>
      <c r="G17" s="92"/>
      <c r="H17" s="90">
        <f t="shared" si="11"/>
        <v>0</v>
      </c>
      <c r="I17" s="91">
        <f t="shared" si="1"/>
        <v>0</v>
      </c>
      <c r="J17" s="92"/>
      <c r="K17" s="93">
        <f t="shared" si="2"/>
        <v>0</v>
      </c>
      <c r="L17" s="91">
        <f t="shared" si="3"/>
        <v>0</v>
      </c>
      <c r="N17" s="66" t="str">
        <f t="shared" si="4"/>
        <v>Retail Preferred Brand</v>
      </c>
      <c r="O17" s="94">
        <f>Asmpt!$C$100</f>
        <v>0</v>
      </c>
      <c r="P17" s="95">
        <f>Asmpt!$C$101</f>
        <v>0</v>
      </c>
      <c r="Q17" s="94">
        <f>Asmpt!$C$102</f>
        <v>0</v>
      </c>
      <c r="R17" s="95">
        <f>Asmpt!$C$103</f>
        <v>1</v>
      </c>
      <c r="S17" s="96">
        <f>IF(Asmpt!$C$104=0,0,Asmpt!$C$47)</f>
        <v>0.2</v>
      </c>
      <c r="T17" s="89">
        <f>Asmpt!$C$51</f>
        <v>1</v>
      </c>
      <c r="U17" s="93"/>
      <c r="V17" s="97">
        <f>IF(E17=0,0,
MIN(
$O17*MAX(E17-CEILING($Q17+$P17*MIN($O$32-SUM(W$9:W16),$P$32-SUM(W$9:W16,$U$35:U$35))/(F17/E17),1),0),
MAX(0,$O$33-SUMPRODUCT($T$9:$T16,V$9:V16)-SUM(W$9:X16)),
MAX(0,$P$33-SUM($U$33:U$33)-SUMPRODUCT($T$9:$T16,V$9:V16)-SUM(W$9:X16))
)
)</f>
        <v>0</v>
      </c>
      <c r="W17" s="97">
        <f>MIN(
$R17*MAX(F17-V17-MIN(F17,$Q17),0),
MAX(0,$O$32-SUM(W$9:W16)),
MAX(0,$P$32-SUM($U$35:U$35)-SUM(W$9:W16)),
MAX(0,$O$33-SUMPRODUCT($T$9:$T17,V$9:V17)-SUM(W$9:X16)),
MAX(0,$P$33-SUM($U$33:U$33)-SUMPRODUCT($T$9:$T17,V$9:V17)-SUM(W$9:X16))
)</f>
        <v>0</v>
      </c>
      <c r="X17" s="97">
        <f>MIN(
$S17*MAX(F17-$Q17-V17-W17,0),
MAX(0,$O$33-SUMPRODUCT($T$9:$T17,V$9:V17)-SUM(W$9:W17)-SUM(X$9:X16)),
MAX(0,$P$33-SUM($U$33:U$33)-SUMPRODUCT($T$9:$T17,V$9:V17)-SUM(W$9:W17)-SUM(X$9:X16))
)</f>
        <v>0</v>
      </c>
      <c r="Y17" s="97">
        <f>IF(H17=0,0,
MIN(
$O17*MAX(H17-CEILING($Q17+$P17*MIN($O$32-SUM(Z$9:Z16),$P$32-SUM(Z$9:Z16,$U$35:X$35))/(I17/H17),1),0),
MAX(0,$O$33-SUMPRODUCT($T$9:$T16,Y$9:Y16)-SUM(Z$9:AA16)),
MAX(0,$P$33-SUM($U$33:X$33)-SUMPRODUCT($T$9:$T16,Y$9:Y16)-SUM(Z$9:AA16))
)
)</f>
        <v>0</v>
      </c>
      <c r="Z17" s="97">
        <f>MIN(
$R17*MAX(I17-Y17-MIN(I17,$Q17),0),
MAX(0,$O$32-SUM(Z$9:Z16)),
MAX(0,$P$32-SUM($U$35:X$35)-SUM(Z$9:Z16)),
MAX(0,$O$33-SUMPRODUCT($T$9:$T17,Y$9:Y17)-SUM(Z$9:AA16)),
MAX(0,$P$33-SUM($U$33:X$33)-SUMPRODUCT($T$9:$T17,Y$9:Y17)-SUM(Z$9:AA16))
)</f>
        <v>0</v>
      </c>
      <c r="AA17" s="97">
        <f>MIN(
$S17*MAX(I17-$Q17-Y17-Z17,0),
MAX(0,$O$33-SUMPRODUCT($T$9:$T17,Y$9:Y17)-SUM(Z$9:Z17)-SUM(AA$9:AA16)),
MAX(0,$P$33-SUM($U$33:X$33)-SUMPRODUCT($T$9:$T17,Y$9:Y17)-SUM(Z$9:Z17)-SUM(AA$9:AA16))
)</f>
        <v>0</v>
      </c>
      <c r="AB17" s="97">
        <f>IF(K17=0,0,
MIN(
$O17*MAX(K17-CEILING($Q17+$P17*MIN($O$32-SUM(AC$9:AC16),$P$32-SUM(AC$9:AC16,$U$35:AA$35))/(L17/K17),1),0),
MAX(0,$O$33-SUMPRODUCT($T$9:$T16,AB$9:AB16)-SUM(AC$9:AD16)),
MAX(0,$P$33-SUM($U$33:AA$33)-SUMPRODUCT($T$9:$T16,AB$9:AB16)-SUM(AC$9:AD16))
)
)</f>
        <v>0</v>
      </c>
      <c r="AC17" s="97">
        <f>MIN(
$R17*MAX(L17-AB17-MIN(L17,$Q17),0),
MAX(0,$O$32-SUM(AC$9:AC16)),
MAX(0,$P$32-SUM($U$35:AA$35)-SUM(AC$9:AC16)),
MAX(0,$O$33-SUMPRODUCT($T$9:$T17,AB$9:AB17)-SUM(AC$9:AD16)),
MAX(0,$P$33-SUM($U$33:AA$33)-SUMPRODUCT($T$9:$T17,AB$9:AB17)-SUM(AC$9:AD16))
)</f>
        <v>0</v>
      </c>
      <c r="AD17" s="97">
        <f>MIN(
$S17*MAX(L17-$Q17-AB17-AC17,0),
MAX(0,$O$33-SUMPRODUCT($T$9:$T17,AB$9:AB17)-SUM(AC$9:AC17)-SUM(AD$9:AD16)),
MAX(0,$P$33-SUM($U$33:AA$33)-SUMPRODUCT($T$9:$T17,AB$9:AB17)-SUM(AC$9:AC17)-SUM(AD$9:AD16))
)</f>
        <v>0</v>
      </c>
      <c r="AE17" s="97">
        <f t="shared" si="13"/>
        <v>0</v>
      </c>
    </row>
    <row r="18" spans="1:31" s="66" customFormat="1" ht="17.100000000000001" customHeight="1">
      <c r="A18" s="92" t="s">
        <v>113</v>
      </c>
      <c r="B18" s="90">
        <f>'Cost Estimator'!F26</f>
        <v>0</v>
      </c>
      <c r="C18" s="91">
        <f>B18*Asmpt!$B26</f>
        <v>0</v>
      </c>
      <c r="E18" s="90">
        <f t="shared" si="10"/>
        <v>0</v>
      </c>
      <c r="F18" s="91">
        <f t="shared" si="0"/>
        <v>0</v>
      </c>
      <c r="G18" s="92"/>
      <c r="H18" s="90">
        <f t="shared" si="11"/>
        <v>0</v>
      </c>
      <c r="I18" s="91">
        <f t="shared" si="1"/>
        <v>0</v>
      </c>
      <c r="J18" s="92"/>
      <c r="K18" s="93">
        <f t="shared" si="2"/>
        <v>0</v>
      </c>
      <c r="L18" s="91">
        <f t="shared" si="3"/>
        <v>0</v>
      </c>
      <c r="N18" s="66" t="str">
        <f t="shared" si="4"/>
        <v>Retail Non-Preferred Brand</v>
      </c>
      <c r="O18" s="94">
        <f>Asmpt!$C$106</f>
        <v>0</v>
      </c>
      <c r="P18" s="95">
        <f>Asmpt!$C$107</f>
        <v>0</v>
      </c>
      <c r="Q18" s="94">
        <f>Asmpt!$C$108</f>
        <v>0</v>
      </c>
      <c r="R18" s="95">
        <f>Asmpt!$C$109</f>
        <v>1</v>
      </c>
      <c r="S18" s="96">
        <f>IF(Asmpt!$C$110=0,0,Asmpt!$C$47)</f>
        <v>0.2</v>
      </c>
      <c r="T18" s="89">
        <f>Asmpt!$C$51</f>
        <v>1</v>
      </c>
      <c r="U18" s="93"/>
      <c r="V18" s="97">
        <f>IF(E18=0,0,
MIN(
$O18*MAX(E18-CEILING($Q18+$P18*MIN($O$32-SUM(W$9:W17),$P$32-SUM(W$9:W17,$U$35:U$35))/(F18/E18),1),0),
MAX(0,$O$33-SUMPRODUCT($T$9:$T17,V$9:V17)-SUM(W$9:X17)),
MAX(0,$P$33-SUM($U$33:U$33)-SUMPRODUCT($T$9:$T17,V$9:V17)-SUM(W$9:X17))
)
)</f>
        <v>0</v>
      </c>
      <c r="W18" s="97">
        <f>MIN(
$R18*MAX(F18-V18-MIN(F18,$Q18),0),
MAX(0,$O$32-SUM(W$9:W17)),
MAX(0,$P$32-SUM($U$35:U$35)-SUM(W$9:W17)),
MAX(0,$O$33-SUMPRODUCT($T$9:$T18,V$9:V18)-SUM(W$9:X17)),
MAX(0,$P$33-SUM($U$33:U$33)-SUMPRODUCT($T$9:$T18,V$9:V18)-SUM(W$9:X17))
)</f>
        <v>0</v>
      </c>
      <c r="X18" s="97">
        <f>MIN(
$S18*MAX(F18-$Q18-V18-W18,0),
MAX(0,$O$33-SUMPRODUCT($T$9:$T18,V$9:V18)-SUM(W$9:W18)-SUM(X$9:X17)),
MAX(0,$P$33-SUM($U$33:U$33)-SUMPRODUCT($T$9:$T18,V$9:V18)-SUM(W$9:W18)-SUM(X$9:X17))
)</f>
        <v>0</v>
      </c>
      <c r="Y18" s="97">
        <f>IF(H18=0,0,
MIN(
$O18*MAX(H18-CEILING($Q18+$P18*MIN($O$32-SUM(Z$9:Z17),$P$32-SUM(Z$9:Z17,$U$35:X$35))/(I18/H18),1),0),
MAX(0,$O$33-SUMPRODUCT($T$9:$T17,Y$9:Y17)-SUM(Z$9:AA17)),
MAX(0,$P$33-SUM($U$33:X$33)-SUMPRODUCT($T$9:$T17,Y$9:Y17)-SUM(Z$9:AA17))
)
)</f>
        <v>0</v>
      </c>
      <c r="Z18" s="97">
        <f>MIN(
$R18*MAX(I18-Y18-MIN(I18,$Q18),0),
MAX(0,$O$32-SUM(Z$9:Z17)),
MAX(0,$P$32-SUM($U$35:X$35)-SUM(Z$9:Z17)),
MAX(0,$O$33-SUMPRODUCT($T$9:$T18,Y$9:Y18)-SUM(Z$9:AA17)),
MAX(0,$P$33-SUM($U$33:X$33)-SUMPRODUCT($T$9:$T18,Y$9:Y18)-SUM(Z$9:AA17))
)</f>
        <v>0</v>
      </c>
      <c r="AA18" s="97">
        <f>MIN(
$S18*MAX(I18-$Q18-Y18-Z18,0),
MAX(0,$O$33-SUMPRODUCT($T$9:$T18,Y$9:Y18)-SUM(Z$9:Z18)-SUM(AA$9:AA17)),
MAX(0,$P$33-SUM($U$33:X$33)-SUMPRODUCT($T$9:$T18,Y$9:Y18)-SUM(Z$9:Z18)-SUM(AA$9:AA17))
)</f>
        <v>0</v>
      </c>
      <c r="AB18" s="97">
        <f>IF(K18=0,0,
MIN(
$O18*MAX(K18-CEILING($Q18+$P18*MIN($O$32-SUM(AC$9:AC17),$P$32-SUM(AC$9:AC17,$U$35:AA$35))/(L18/K18),1),0),
MAX(0,$O$33-SUMPRODUCT($T$9:$T17,AB$9:AB17)-SUM(AC$9:AD17)),
MAX(0,$P$33-SUM($U$33:AA$33)-SUMPRODUCT($T$9:$T17,AB$9:AB17)-SUM(AC$9:AD17))
)
)</f>
        <v>0</v>
      </c>
      <c r="AC18" s="97">
        <f>MIN(
$R18*MAX(L18-AB18-MIN(L18,$Q18),0),
MAX(0,$O$32-SUM(AC$9:AC17)),
MAX(0,$P$32-SUM($U$35:AA$35)-SUM(AC$9:AC17)),
MAX(0,$O$33-SUMPRODUCT($T$9:$T18,AB$9:AB18)-SUM(AC$9:AD17)),
MAX(0,$P$33-SUM($U$33:AA$33)-SUMPRODUCT($T$9:$T18,AB$9:AB18)-SUM(AC$9:AD17))
)</f>
        <v>0</v>
      </c>
      <c r="AD18" s="97">
        <f>MIN(
$S18*MAX(L18-$Q18-AB18-AC18,0),
MAX(0,$O$33-SUMPRODUCT($T$9:$T18,AB$9:AB18)-SUM(AC$9:AC18)-SUM(AD$9:AD17)),
MAX(0,$P$33-SUM($U$33:AA$33)-SUMPRODUCT($T$9:$T18,AB$9:AB18)-SUM(AC$9:AC18)-SUM(AD$9:AD17))
)</f>
        <v>0</v>
      </c>
      <c r="AE18" s="97">
        <f t="shared" si="13"/>
        <v>0</v>
      </c>
    </row>
    <row r="19" spans="1:31" s="66" customFormat="1" ht="17.100000000000001" customHeight="1">
      <c r="A19" s="92" t="s">
        <v>213</v>
      </c>
      <c r="B19" s="90">
        <f>'Cost Estimator'!F29</f>
        <v>0</v>
      </c>
      <c r="C19" s="91">
        <f>B19*Asmpt!$B27</f>
        <v>0</v>
      </c>
      <c r="E19" s="90">
        <f t="shared" si="10"/>
        <v>0</v>
      </c>
      <c r="F19" s="91">
        <f t="shared" si="0"/>
        <v>0</v>
      </c>
      <c r="G19" s="92"/>
      <c r="H19" s="90">
        <f t="shared" si="11"/>
        <v>0</v>
      </c>
      <c r="I19" s="91">
        <f t="shared" si="1"/>
        <v>0</v>
      </c>
      <c r="J19" s="92"/>
      <c r="K19" s="93">
        <f t="shared" si="2"/>
        <v>0</v>
      </c>
      <c r="L19" s="91">
        <f t="shared" si="3"/>
        <v>0</v>
      </c>
      <c r="N19" s="66" t="str">
        <f t="shared" si="4"/>
        <v>Preferred Specialty</v>
      </c>
      <c r="O19" s="94">
        <f>Asmpt!$C$112</f>
        <v>0</v>
      </c>
      <c r="P19" s="95">
        <f>Asmpt!$C$113</f>
        <v>0</v>
      </c>
      <c r="Q19" s="94">
        <f>Asmpt!$C$114</f>
        <v>0</v>
      </c>
      <c r="R19" s="95">
        <f>Asmpt!$C$115</f>
        <v>1</v>
      </c>
      <c r="S19" s="96">
        <f>IF(Asmpt!$C$116=0,0,Asmpt!$C$47)</f>
        <v>0.2</v>
      </c>
      <c r="T19" s="89">
        <f>Asmpt!$C$51</f>
        <v>1</v>
      </c>
      <c r="U19" s="93"/>
      <c r="V19" s="97">
        <f>IF(E19=0,0,
MIN(
$O19*MAX(E19-CEILING($Q19+$P19*MIN($O$32-SUM(W$9:W18),$P$32-SUM(W$9:W18,$U$35:U$35))/(F19/E19),1),0),
MAX(0,$O$33-SUMPRODUCT($T$9:$T18,V$9:V18)-SUM(W$9:X18)),
MAX(0,$P$33-SUM($U$33:U$33)-SUMPRODUCT($T$9:$T18,V$9:V18)-SUM(W$9:X18))
)
)</f>
        <v>0</v>
      </c>
      <c r="W19" s="97">
        <f>MIN(
$R19*MAX(F19-V19-MIN(F19,$Q19),0),
MAX(0,$O$32-SUM(W$9:W18)),
MAX(0,$P$32-SUM($U$35:U$35)-SUM(W$9:W18)),
MAX(0,$O$33-SUMPRODUCT($T$9:$T19,V$9:V19)-SUM(W$9:X18)),
MAX(0,$P$33-SUM($U$33:U$33)-SUMPRODUCT($T$9:$T19,V$9:V19)-SUM(W$9:X18))
)</f>
        <v>0</v>
      </c>
      <c r="X19" s="97">
        <f>MIN(
$S19*MAX(F19-$Q19-V19-W19,0),
MAX(0,$O$33-SUMPRODUCT($T$9:$T19,V$9:V19)-SUM(W$9:W19)-SUM(X$9:X18)),
MAX(0,$P$33-SUM($U$33:U$33)-SUMPRODUCT($T$9:$T19,V$9:V19)-SUM(W$9:W19)-SUM(X$9:X18))
)</f>
        <v>0</v>
      </c>
      <c r="Y19" s="97">
        <f>IF(H19=0,0,
MIN(
$O19*MAX(H19-CEILING($Q19+$P19*MIN($O$32-SUM(Z$9:Z18),$P$32-SUM(Z$9:Z18,$U$35:X$35))/(I19/H19),1),0),
MAX(0,$O$33-SUMPRODUCT($T$9:$T18,Y$9:Y18)-SUM(Z$9:AA18)),
MAX(0,$P$33-SUM($U$33:X$33)-SUMPRODUCT($T$9:$T18,Y$9:Y18)-SUM(Z$9:AA18))
)
)</f>
        <v>0</v>
      </c>
      <c r="Z19" s="97">
        <f>MIN(
$R19*MAX(I19-Y19-MIN(I19,$Q19),0),
MAX(0,$O$32-SUM(Z$9:Z18)),
MAX(0,$P$32-SUM($U$35:X$35)-SUM(Z$9:Z18)),
MAX(0,$O$33-SUMPRODUCT($T$9:$T19,Y$9:Y19)-SUM(Z$9:AA18)),
MAX(0,$P$33-SUM($U$33:X$33)-SUMPRODUCT($T$9:$T19,Y$9:Y19)-SUM(Z$9:AA18))
)</f>
        <v>0</v>
      </c>
      <c r="AA19" s="97">
        <f>MIN(
$S19*MAX(I19-$Q19-Y19-Z19,0),
MAX(0,$O$33-SUMPRODUCT($T$9:$T19,Y$9:Y19)-SUM(Z$9:Z19)-SUM(AA$9:AA18)),
MAX(0,$P$33-SUM($U$33:X$33)-SUMPRODUCT($T$9:$T19,Y$9:Y19)-SUM(Z$9:Z19)-SUM(AA$9:AA18))
)</f>
        <v>0</v>
      </c>
      <c r="AB19" s="97">
        <f>IF(K19=0,0,
MIN(
$O19*MAX(K19-CEILING($Q19+$P19*MIN($O$32-SUM(AC$9:AC18),$P$32-SUM(AC$9:AC18,$U$35:AA$35))/(L19/K19),1),0),
MAX(0,$O$33-SUMPRODUCT($T$9:$T18,AB$9:AB18)-SUM(AC$9:AD18)),
MAX(0,$P$33-SUM($U$33:AA$33)-SUMPRODUCT($T$9:$T18,AB$9:AB18)-SUM(AC$9:AD18))
)
)</f>
        <v>0</v>
      </c>
      <c r="AC19" s="97">
        <f>MIN(
$R19*MAX(L19-AB19-MIN(L19,$Q19),0),
MAX(0,$O$32-SUM(AC$9:AC18)),
MAX(0,$P$32-SUM($U$35:AA$35)-SUM(AC$9:AC18)),
MAX(0,$O$33-SUMPRODUCT($T$9:$T19,AB$9:AB19)-SUM(AC$9:AD18)),
MAX(0,$P$33-SUM($U$33:AA$33)-SUMPRODUCT($T$9:$T19,AB$9:AB19)-SUM(AC$9:AD18))
)</f>
        <v>0</v>
      </c>
      <c r="AD19" s="97">
        <f>MIN(
$S19*MAX(L19-$Q19-AB19-AC19,0),
MAX(0,$O$33-SUMPRODUCT($T$9:$T19,AB$9:AB19)-SUM(AC$9:AC19)-SUM(AD$9:AD18)),
MAX(0,$P$33-SUM($U$33:AA$33)-SUMPRODUCT($T$9:$T19,AB$9:AB19)-SUM(AC$9:AC19)-SUM(AD$9:AD18))
)</f>
        <v>0</v>
      </c>
      <c r="AE19" s="97">
        <f t="shared" si="13"/>
        <v>0</v>
      </c>
    </row>
    <row r="20" spans="1:31" s="66" customFormat="1" ht="17.100000000000001" customHeight="1">
      <c r="A20" s="92" t="s">
        <v>214</v>
      </c>
      <c r="B20" s="90">
        <f>'Cost Estimator'!F30</f>
        <v>0</v>
      </c>
      <c r="C20" s="91">
        <f>B20*Asmpt!$B28</f>
        <v>0</v>
      </c>
      <c r="E20" s="90">
        <f t="shared" si="10"/>
        <v>0</v>
      </c>
      <c r="F20" s="91">
        <f t="shared" si="0"/>
        <v>0</v>
      </c>
      <c r="G20" s="92"/>
      <c r="H20" s="90">
        <f t="shared" si="11"/>
        <v>0</v>
      </c>
      <c r="I20" s="91">
        <f t="shared" si="1"/>
        <v>0</v>
      </c>
      <c r="J20" s="92"/>
      <c r="K20" s="93">
        <f t="shared" si="2"/>
        <v>0</v>
      </c>
      <c r="L20" s="91">
        <f t="shared" si="3"/>
        <v>0</v>
      </c>
      <c r="N20" s="66" t="str">
        <f t="shared" si="4"/>
        <v>Non-Preferred Specialty</v>
      </c>
      <c r="O20" s="94">
        <f>Asmpt!$C$118</f>
        <v>0</v>
      </c>
      <c r="P20" s="95">
        <f>Asmpt!$C$119</f>
        <v>0</v>
      </c>
      <c r="Q20" s="94">
        <f>Asmpt!$C$120</f>
        <v>0</v>
      </c>
      <c r="R20" s="95">
        <f>Asmpt!$C$121</f>
        <v>1</v>
      </c>
      <c r="S20" s="96">
        <f>IF(Asmpt!$C$122=0,0,Asmpt!$C$47)</f>
        <v>0.2</v>
      </c>
      <c r="T20" s="89">
        <f>Asmpt!$C$51</f>
        <v>1</v>
      </c>
      <c r="U20" s="93"/>
      <c r="V20" s="97">
        <f>IF(E20=0,0,
MIN(
$O20*MAX(E20-CEILING($Q20+$P20*MIN($O$32-SUM(W$9:W19),$P$32-SUM(W$9:W19,$U$35:U$35))/(F20/E20),1),0),
MAX(0,$O$33-SUMPRODUCT($T$9:$T19,V$9:V19)-SUM(W$9:X19)),
MAX(0,$P$33-SUM($U$33:U$33)-SUMPRODUCT($T$9:$T19,V$9:V19)-SUM(W$9:X19))
)
)</f>
        <v>0</v>
      </c>
      <c r="W20" s="97">
        <f>MIN(
$R20*MAX(F20-V20-MIN(F20,$Q20),0),
MAX(0,$O$32-SUM(W$9:W19)),
MAX(0,$P$32-SUM($U$35:U$35)-SUM(W$9:W19)),
MAX(0,$O$33-SUMPRODUCT($T$9:$T20,V$9:V20)-SUM(W$9:X19)),
MAX(0,$P$33-SUM($U$33:U$33)-SUMPRODUCT($T$9:$T20,V$9:V20)-SUM(W$9:X19))
)</f>
        <v>0</v>
      </c>
      <c r="X20" s="97">
        <f>MIN(
$S20*MAX(F20-$Q20-V20-W20,0),
MAX(0,$O$33-SUMPRODUCT($T$9:$T20,V$9:V20)-SUM(W$9:W20)-SUM(X$9:X19)),
MAX(0,$P$33-SUM($U$33:U$33)-SUMPRODUCT($T$9:$T20,V$9:V20)-SUM(W$9:W20)-SUM(X$9:X19))
)</f>
        <v>0</v>
      </c>
      <c r="Y20" s="97">
        <f>IF(H20=0,0,
MIN(
$O20*MAX(H20-CEILING($Q20+$P20*MIN($O$32-SUM(Z$9:Z19),$P$32-SUM(Z$9:Z19,$U$35:X$35))/(I20/H20),1),0),
MAX(0,$O$33-SUMPRODUCT($T$9:$T19,Y$9:Y19)-SUM(Z$9:AA19)),
MAX(0,$P$33-SUM($U$33:X$33)-SUMPRODUCT($T$9:$T19,Y$9:Y19)-SUM(Z$9:AA19))
)
)</f>
        <v>0</v>
      </c>
      <c r="Z20" s="97">
        <f>MIN(
$R20*MAX(I20-Y20-MIN(I20,$Q20),0),
MAX(0,$O$32-SUM(Z$9:Z19)),
MAX(0,$P$32-SUM($U$35:X$35)-SUM(Z$9:Z19)),
MAX(0,$O$33-SUMPRODUCT($T$9:$T20,Y$9:Y20)-SUM(Z$9:AA19)),
MAX(0,$P$33-SUM($U$33:X$33)-SUMPRODUCT($T$9:$T20,Y$9:Y20)-SUM(Z$9:AA19))
)</f>
        <v>0</v>
      </c>
      <c r="AA20" s="97">
        <f>MIN(
$S20*MAX(I20-$Q20-Y20-Z20,0),
MAX(0,$O$33-SUMPRODUCT($T$9:$T20,Y$9:Y20)-SUM(Z$9:Z20)-SUM(AA$9:AA19)),
MAX(0,$P$33-SUM($U$33:X$33)-SUMPRODUCT($T$9:$T20,Y$9:Y20)-SUM(Z$9:Z20)-SUM(AA$9:AA19))
)</f>
        <v>0</v>
      </c>
      <c r="AB20" s="97">
        <f>IF(K20=0,0,
MIN(
$O20*MAX(K20-CEILING($Q20+$P20*MIN($O$32-SUM(AC$9:AC19),$P$32-SUM(AC$9:AC19,$U$35:AA$35))/(L20/K20),1),0),
MAX(0,$O$33-SUMPRODUCT($T$9:$T19,AB$9:AB19)-SUM(AC$9:AD19)),
MAX(0,$P$33-SUM($U$33:AA$33)-SUMPRODUCT($T$9:$T19,AB$9:AB19)-SUM(AC$9:AD19))
)
)</f>
        <v>0</v>
      </c>
      <c r="AC20" s="97">
        <f>MIN(
$R20*MAX(L20-AB20-MIN(L20,$Q20),0),
MAX(0,$O$32-SUM(AC$9:AC19)),
MAX(0,$P$32-SUM($U$35:AA$35)-SUM(AC$9:AC19)),
MAX(0,$O$33-SUMPRODUCT($T$9:$T20,AB$9:AB20)-SUM(AC$9:AD19)),
MAX(0,$P$33-SUM($U$33:AA$33)-SUMPRODUCT($T$9:$T20,AB$9:AB20)-SUM(AC$9:AD19))
)</f>
        <v>0</v>
      </c>
      <c r="AD20" s="97">
        <f>MIN(
$S20*MAX(L20-$Q20-AB20-AC20,0),
MAX(0,$O$33-SUMPRODUCT($T$9:$T20,AB$9:AB20)-SUM(AC$9:AC20)-SUM(AD$9:AD19)),
MAX(0,$P$33-SUM($U$33:AA$33)-SUMPRODUCT($T$9:$T20,AB$9:AB20)-SUM(AC$9:AC20)-SUM(AD$9:AD19))
)</f>
        <v>0</v>
      </c>
      <c r="AE20" s="97">
        <f t="shared" si="13"/>
        <v>0</v>
      </c>
    </row>
    <row r="21" spans="1:31" s="66" customFormat="1" ht="17.100000000000001" customHeight="1">
      <c r="A21" s="92" t="s">
        <v>217</v>
      </c>
      <c r="B21" s="90">
        <f>'Cost Estimator'!G23</f>
        <v>0</v>
      </c>
      <c r="C21" s="91">
        <f>B21*Asmpt!$B29</f>
        <v>0</v>
      </c>
      <c r="E21" s="90">
        <f t="shared" si="10"/>
        <v>0</v>
      </c>
      <c r="F21" s="91">
        <f t="shared" si="0"/>
        <v>0</v>
      </c>
      <c r="G21" s="92"/>
      <c r="H21" s="90">
        <f t="shared" si="11"/>
        <v>0</v>
      </c>
      <c r="I21" s="91">
        <f t="shared" si="1"/>
        <v>0</v>
      </c>
      <c r="J21" s="92"/>
      <c r="K21" s="93">
        <f t="shared" si="2"/>
        <v>0</v>
      </c>
      <c r="L21" s="91">
        <f t="shared" si="3"/>
        <v>0</v>
      </c>
      <c r="N21" s="66" t="str">
        <f t="shared" si="4"/>
        <v>Mail Order Preferred Generic</v>
      </c>
      <c r="O21" s="94">
        <f>Asmpt!$C$124</f>
        <v>0</v>
      </c>
      <c r="P21" s="95">
        <f>Asmpt!$C$125</f>
        <v>0</v>
      </c>
      <c r="Q21" s="94">
        <f>Asmpt!$C$126</f>
        <v>0</v>
      </c>
      <c r="R21" s="95">
        <f>Asmpt!$C$127</f>
        <v>1</v>
      </c>
      <c r="S21" s="96">
        <f>IF(Asmpt!$C$128=0,0,Asmpt!$C$47)</f>
        <v>0.2</v>
      </c>
      <c r="T21" s="89">
        <f>Asmpt!$C$51</f>
        <v>1</v>
      </c>
      <c r="U21" s="93"/>
      <c r="V21" s="97">
        <f>IF(E21=0,0,
MIN(
$O21*MAX(E21-CEILING($Q21+$P21*MIN($O$32-SUM(W$9:W20),$P$32-SUM(W$9:W20,$U$35:U$35))/(F21/E21),1),0),
MAX(0,$O$33-SUMPRODUCT($T$9:$T20,V$9:V20)-SUM(W$9:X20)),
MAX(0,$P$33-SUM($U$33:U$33)-SUMPRODUCT($T$9:$T20,V$9:V20)-SUM(W$9:X20))
)
)</f>
        <v>0</v>
      </c>
      <c r="W21" s="97">
        <f>MIN(
$R21*MAX(F21-V21-MIN(F21,$Q21),0),
MAX(0,$O$32-SUM(W$9:W20)),
MAX(0,$P$32-SUM($U$35:U$35)-SUM(W$9:W20)),
MAX(0,$O$33-SUMPRODUCT($T$9:$T21,V$9:V21)-SUM(W$9:X20)),
MAX(0,$P$33-SUM($U$33:U$33)-SUMPRODUCT($T$9:$T21,V$9:V21)-SUM(W$9:X20))
)</f>
        <v>0</v>
      </c>
      <c r="X21" s="97">
        <f>MIN(
$S21*MAX(F21-$Q21-V21-W21,0),
MAX(0,$O$33-SUMPRODUCT($T$9:$T21,V$9:V21)-SUM(W$9:W21)-SUM(X$9:X20)),
MAX(0,$P$33-SUM($U$33:U$33)-SUMPRODUCT($T$9:$T21,V$9:V21)-SUM(W$9:W21)-SUM(X$9:X20))
)</f>
        <v>0</v>
      </c>
      <c r="Y21" s="97">
        <f>IF(H21=0,0,
MIN(
$O21*MAX(H21-CEILING($Q21+$P21*MIN($O$32-SUM(Z$9:Z20),$P$32-SUM(Z$9:Z20,$U$35:X$35))/(I21/H21),1),0),
MAX(0,$O$33-SUMPRODUCT($T$9:$T20,Y$9:Y20)-SUM(Z$9:AA20)),
MAX(0,$P$33-SUM($U$33:X$33)-SUMPRODUCT($T$9:$T20,Y$9:Y20)-SUM(Z$9:AA20))
)
)</f>
        <v>0</v>
      </c>
      <c r="Z21" s="97">
        <f>MIN(
$R21*MAX(I21-Y21-MIN(I21,$Q21),0),
MAX(0,$O$32-SUM(Z$9:Z20)),
MAX(0,$P$32-SUM($U$35:X$35)-SUM(Z$9:Z20)),
MAX(0,$O$33-SUMPRODUCT($T$9:$T21,Y$9:Y21)-SUM(Z$9:AA20)),
MAX(0,$P$33-SUM($U$33:X$33)-SUMPRODUCT($T$9:$T21,Y$9:Y21)-SUM(Z$9:AA20))
)</f>
        <v>0</v>
      </c>
      <c r="AA21" s="97">
        <f>MIN(
$S21*MAX(I21-$Q21-Y21-Z21,0),
MAX(0,$O$33-SUMPRODUCT($T$9:$T21,Y$9:Y21)-SUM(Z$9:Z21)-SUM(AA$9:AA20)),
MAX(0,$P$33-SUM($U$33:X$33)-SUMPRODUCT($T$9:$T21,Y$9:Y21)-SUM(Z$9:Z21)-SUM(AA$9:AA20))
)</f>
        <v>0</v>
      </c>
      <c r="AB21" s="97">
        <f>IF(K21=0,0,
MIN(
$O21*MAX(K21-CEILING($Q21+$P21*MIN($O$32-SUM(AC$9:AC20),$P$32-SUM(AC$9:AC20,$U$35:AA$35))/(L21/K21),1),0),
MAX(0,$O$33-SUMPRODUCT($T$9:$T20,AB$9:AB20)-SUM(AC$9:AD20)),
MAX(0,$P$33-SUM($U$33:AA$33)-SUMPRODUCT($T$9:$T20,AB$9:AB20)-SUM(AC$9:AD20))
)
)</f>
        <v>0</v>
      </c>
      <c r="AC21" s="97">
        <f>MIN(
$R21*MAX(L21-AB21-MIN(L21,$Q21),0),
MAX(0,$O$32-SUM(AC$9:AC20)),
MAX(0,$P$32-SUM($U$35:AA$35)-SUM(AC$9:AC20)),
MAX(0,$O$33-SUMPRODUCT($T$9:$T21,AB$9:AB21)-SUM(AC$9:AD20)),
MAX(0,$P$33-SUM($U$33:AA$33)-SUMPRODUCT($T$9:$T21,AB$9:AB21)-SUM(AC$9:AD20))
)</f>
        <v>0</v>
      </c>
      <c r="AD21" s="97">
        <f>MIN(
$S21*MAX(L21-$Q21-AB21-AC21,0),
MAX(0,$O$33-SUMPRODUCT($T$9:$T21,AB$9:AB21)-SUM(AC$9:AC21)-SUM(AD$9:AD20)),
MAX(0,$P$33-SUM($U$33:AA$33)-SUMPRODUCT($T$9:$T21,AB$9:AB21)-SUM(AC$9:AC21)-SUM(AD$9:AD20))
)</f>
        <v>0</v>
      </c>
      <c r="AE21" s="97">
        <f t="shared" si="13"/>
        <v>0</v>
      </c>
    </row>
    <row r="22" spans="1:31" s="66" customFormat="1" ht="17.100000000000001" customHeight="1">
      <c r="A22" s="92" t="s">
        <v>218</v>
      </c>
      <c r="B22" s="90">
        <f>'Cost Estimator'!G24</f>
        <v>0</v>
      </c>
      <c r="C22" s="91">
        <f>B22*Asmpt!$B30</f>
        <v>0</v>
      </c>
      <c r="E22" s="90">
        <f t="shared" si="10"/>
        <v>0</v>
      </c>
      <c r="F22" s="91">
        <f t="shared" si="0"/>
        <v>0</v>
      </c>
      <c r="G22" s="92"/>
      <c r="H22" s="90">
        <f t="shared" si="11"/>
        <v>0</v>
      </c>
      <c r="I22" s="91">
        <f t="shared" si="1"/>
        <v>0</v>
      </c>
      <c r="J22" s="92"/>
      <c r="K22" s="93">
        <f t="shared" si="2"/>
        <v>0</v>
      </c>
      <c r="L22" s="91">
        <f t="shared" si="3"/>
        <v>0</v>
      </c>
      <c r="N22" s="66" t="str">
        <f t="shared" si="4"/>
        <v>Mail Order Non-Preferred Generic</v>
      </c>
      <c r="O22" s="94">
        <f>Asmpt!$C$130</f>
        <v>0</v>
      </c>
      <c r="P22" s="95">
        <f>Asmpt!$C$131</f>
        <v>0</v>
      </c>
      <c r="Q22" s="94">
        <f>Asmpt!$C$132</f>
        <v>0</v>
      </c>
      <c r="R22" s="95">
        <f>Asmpt!$C$133</f>
        <v>1</v>
      </c>
      <c r="S22" s="96">
        <f>IF(Asmpt!$C$134=0,0,Asmpt!$C$47)</f>
        <v>0.2</v>
      </c>
      <c r="T22" s="89">
        <f>Asmpt!$C$51</f>
        <v>1</v>
      </c>
      <c r="U22" s="93"/>
      <c r="V22" s="97">
        <f>IF(E22=0,0,
MIN(
$O22*MAX(E22-CEILING($Q22+$P22*MIN($O$32-SUM(W$9:W21),$P$32-SUM(W$9:W21,$U$35:U$35))/(F22/E22),1),0),
MAX(0,$O$33-SUMPRODUCT($T$9:$T21,V$9:V21)-SUM(W$9:X21)),
MAX(0,$P$33-SUM($U$33:U$33)-SUMPRODUCT($T$9:$T21,V$9:V21)-SUM(W$9:X21))
)
)</f>
        <v>0</v>
      </c>
      <c r="W22" s="97">
        <f>MIN(
$R22*MAX(F22-V22-MIN(F22,$Q22),0),
MAX(0,$O$32-SUM(W$9:W21)),
MAX(0,$P$32-SUM($U$35:U$35)-SUM(W$9:W21)),
MAX(0,$O$33-SUMPRODUCT($T$9:$T22,V$9:V22)-SUM(W$9:X21)),
MAX(0,$P$33-SUM($U$33:U$33)-SUMPRODUCT($T$9:$T22,V$9:V22)-SUM(W$9:X21))
)</f>
        <v>0</v>
      </c>
      <c r="X22" s="97">
        <f>MIN(
$S22*MAX(F22-$Q22-V22-W22,0),
MAX(0,$O$33-SUMPRODUCT($T$9:$T22,V$9:V22)-SUM(W$9:W22)-SUM(X$9:X21)),
MAX(0,$P$33-SUM($U$33:U$33)-SUMPRODUCT($T$9:$T22,V$9:V22)-SUM(W$9:W22)-SUM(X$9:X21))
)</f>
        <v>0</v>
      </c>
      <c r="Y22" s="97">
        <f>IF(H22=0,0,
MIN(
$O22*MAX(H22-CEILING($Q22+$P22*MIN($O$32-SUM(Z$9:Z21),$P$32-SUM(Z$9:Z21,$U$35:X$35))/(I22/H22),1),0),
MAX(0,$O$33-SUMPRODUCT($T$9:$T21,Y$9:Y21)-SUM(Z$9:AA21)),
MAX(0,$P$33-SUM($U$33:X$33)-SUMPRODUCT($T$9:$T21,Y$9:Y21)-SUM(Z$9:AA21))
)
)</f>
        <v>0</v>
      </c>
      <c r="Z22" s="97">
        <f>MIN(
$R22*MAX(I22-Y22-MIN(I22,$Q22),0),
MAX(0,$O$32-SUM(Z$9:Z21)),
MAX(0,$P$32-SUM($U$35:X$35)-SUM(Z$9:Z21)),
MAX(0,$O$33-SUMPRODUCT($T$9:$T22,Y$9:Y22)-SUM(Z$9:AA21)),
MAX(0,$P$33-SUM($U$33:X$33)-SUMPRODUCT($T$9:$T22,Y$9:Y22)-SUM(Z$9:AA21))
)</f>
        <v>0</v>
      </c>
      <c r="AA22" s="97">
        <f>MIN(
$S22*MAX(I22-$Q22-Y22-Z22,0),
MAX(0,$O$33-SUMPRODUCT($T$9:$T22,Y$9:Y22)-SUM(Z$9:Z22)-SUM(AA$9:AA21)),
MAX(0,$P$33-SUM($U$33:X$33)-SUMPRODUCT($T$9:$T22,Y$9:Y22)-SUM(Z$9:Z22)-SUM(AA$9:AA21))
)</f>
        <v>0</v>
      </c>
      <c r="AB22" s="97">
        <f>IF(K22=0,0,
MIN(
$O22*MAX(K22-CEILING($Q22+$P22*MIN($O$32-SUM(AC$9:AC21),$P$32-SUM(AC$9:AC21,$U$35:AA$35))/(L22/K22),1),0),
MAX(0,$O$33-SUMPRODUCT($T$9:$T21,AB$9:AB21)-SUM(AC$9:AD21)),
MAX(0,$P$33-SUM($U$33:AA$33)-SUMPRODUCT($T$9:$T21,AB$9:AB21)-SUM(AC$9:AD21))
)
)</f>
        <v>0</v>
      </c>
      <c r="AC22" s="97">
        <f>MIN(
$R22*MAX(L22-AB22-MIN(L22,$Q22),0),
MAX(0,$O$32-SUM(AC$9:AC21)),
MAX(0,$P$32-SUM($U$35:AA$35)-SUM(AC$9:AC21)),
MAX(0,$O$33-SUMPRODUCT($T$9:$T22,AB$9:AB22)-SUM(AC$9:AD21)),
MAX(0,$P$33-SUM($U$33:AA$33)-SUMPRODUCT($T$9:$T22,AB$9:AB22)-SUM(AC$9:AD21))
)</f>
        <v>0</v>
      </c>
      <c r="AD22" s="97">
        <f>MIN(
$S22*MAX(L22-$Q22-AB22-AC22,0),
MAX(0,$O$33-SUMPRODUCT($T$9:$T22,AB$9:AB22)-SUM(AC$9:AC22)-SUM(AD$9:AD21)),
MAX(0,$P$33-SUM($U$33:AA$33)-SUMPRODUCT($T$9:$T22,AB$9:AB22)-SUM(AC$9:AC22)-SUM(AD$9:AD21))
)</f>
        <v>0</v>
      </c>
      <c r="AE22" s="97">
        <f t="shared" si="13"/>
        <v>0</v>
      </c>
    </row>
    <row r="23" spans="1:31" s="66" customFormat="1" ht="17.100000000000001" customHeight="1">
      <c r="A23" s="92" t="s">
        <v>114</v>
      </c>
      <c r="B23" s="90">
        <f>'Cost Estimator'!G25</f>
        <v>0</v>
      </c>
      <c r="C23" s="91">
        <f>B23*Asmpt!$B31</f>
        <v>0</v>
      </c>
      <c r="E23" s="90">
        <f t="shared" si="10"/>
        <v>0</v>
      </c>
      <c r="F23" s="91">
        <f t="shared" si="0"/>
        <v>0</v>
      </c>
      <c r="G23" s="92"/>
      <c r="H23" s="90">
        <f t="shared" si="11"/>
        <v>0</v>
      </c>
      <c r="I23" s="91">
        <f t="shared" si="1"/>
        <v>0</v>
      </c>
      <c r="J23" s="92"/>
      <c r="K23" s="93">
        <f t="shared" si="2"/>
        <v>0</v>
      </c>
      <c r="L23" s="91">
        <f t="shared" si="3"/>
        <v>0</v>
      </c>
      <c r="N23" s="66" t="str">
        <f t="shared" si="4"/>
        <v>Mail Order Preferred Brand</v>
      </c>
      <c r="O23" s="94">
        <f>Asmpt!$C$136</f>
        <v>0</v>
      </c>
      <c r="P23" s="95">
        <f>Asmpt!$C$137</f>
        <v>0</v>
      </c>
      <c r="Q23" s="94">
        <f>Asmpt!$C$138</f>
        <v>0</v>
      </c>
      <c r="R23" s="95">
        <f>Asmpt!$C$139</f>
        <v>1</v>
      </c>
      <c r="S23" s="96">
        <f>IF(Asmpt!$C$140=0,0,Asmpt!$C$47)</f>
        <v>0.2</v>
      </c>
      <c r="T23" s="89">
        <f>Asmpt!$C$51</f>
        <v>1</v>
      </c>
      <c r="U23" s="93"/>
      <c r="V23" s="97">
        <f>IF(E23=0,0,
MIN(
$O23*MAX(E23-CEILING($Q23+$P23*MIN($O$32-SUM(W$9:W22),$P$32-SUM(W$9:W22,$U$35:U$35))/(F23/E23),1),0),
MAX(0,$O$33-SUMPRODUCT($T$9:$T22,V$9:V22)-SUM(W$9:X22)),
MAX(0,$P$33-SUM($U$33:U$33)-SUMPRODUCT($T$9:$T22,V$9:V22)-SUM(W$9:X22))
)
)</f>
        <v>0</v>
      </c>
      <c r="W23" s="97">
        <f>MIN(
$R23*MAX(F23-V23-MIN(F23,$Q23),0),
MAX(0,$O$32-SUM(W$9:W22)),
MAX(0,$P$32-SUM($U$35:U$35)-SUM(W$9:W22)),
MAX(0,$O$33-SUMPRODUCT($T$9:$T23,V$9:V23)-SUM(W$9:X22)),
MAX(0,$P$33-SUM($U$33:U$33)-SUMPRODUCT($T$9:$T23,V$9:V23)-SUM(W$9:X22))
)</f>
        <v>0</v>
      </c>
      <c r="X23" s="97">
        <f>MIN(
$S23*MAX(F23-$Q23-V23-W23,0),
MAX(0,$O$33-SUMPRODUCT($T$9:$T23,V$9:V23)-SUM(W$9:W23)-SUM(X$9:X22)),
MAX(0,$P$33-SUM($U$33:U$33)-SUMPRODUCT($T$9:$T23,V$9:V23)-SUM(W$9:W23)-SUM(X$9:X22))
)</f>
        <v>0</v>
      </c>
      <c r="Y23" s="97">
        <f>IF(H23=0,0,
MIN(
$O23*MAX(H23-CEILING($Q23+$P23*MIN($O$32-SUM(Z$9:Z22),$P$32-SUM(Z$9:Z22,$U$35:X$35))/(I23/H23),1),0),
MAX(0,$O$33-SUMPRODUCT($T$9:$T22,Y$9:Y22)-SUM(Z$9:AA22)),
MAX(0,$P$33-SUM($U$33:X$33)-SUMPRODUCT($T$9:$T22,Y$9:Y22)-SUM(Z$9:AA22))
)
)</f>
        <v>0</v>
      </c>
      <c r="Z23" s="97">
        <f>MIN(
$R23*MAX(I23-Y23-MIN(I23,$Q23),0),
MAX(0,$O$32-SUM(Z$9:Z22)),
MAX(0,$P$32-SUM($U$35:X$35)-SUM(Z$9:Z22)),
MAX(0,$O$33-SUMPRODUCT($T$9:$T23,Y$9:Y23)-SUM(Z$9:AA22)),
MAX(0,$P$33-SUM($U$33:X$33)-SUMPRODUCT($T$9:$T23,Y$9:Y23)-SUM(Z$9:AA22))
)</f>
        <v>0</v>
      </c>
      <c r="AA23" s="97">
        <f>MIN(
$S23*MAX(I23-$Q23-Y23-Z23,0),
MAX(0,$O$33-SUMPRODUCT($T$9:$T23,Y$9:Y23)-SUM(Z$9:Z23)-SUM(AA$9:AA22)),
MAX(0,$P$33-SUM($U$33:X$33)-SUMPRODUCT($T$9:$T23,Y$9:Y23)-SUM(Z$9:Z23)-SUM(AA$9:AA22))
)</f>
        <v>0</v>
      </c>
      <c r="AB23" s="97">
        <f>IF(K23=0,0,
MIN(
$O23*MAX(K23-CEILING($Q23+$P23*MIN($O$32-SUM(AC$9:AC22),$P$32-SUM(AC$9:AC22,$U$35:AA$35))/(L23/K23),1),0),
MAX(0,$O$33-SUMPRODUCT($T$9:$T22,AB$9:AB22)-SUM(AC$9:AD22)),
MAX(0,$P$33-SUM($U$33:AA$33)-SUMPRODUCT($T$9:$T22,AB$9:AB22)-SUM(AC$9:AD22))
)
)</f>
        <v>0</v>
      </c>
      <c r="AC23" s="97">
        <f>MIN(
$R23*MAX(L23-AB23-MIN(L23,$Q23),0),
MAX(0,$O$32-SUM(AC$9:AC22)),
MAX(0,$P$32-SUM($U$35:AA$35)-SUM(AC$9:AC22)),
MAX(0,$O$33-SUMPRODUCT($T$9:$T23,AB$9:AB23)-SUM(AC$9:AD22)),
MAX(0,$P$33-SUM($U$33:AA$33)-SUMPRODUCT($T$9:$T23,AB$9:AB23)-SUM(AC$9:AD22))
)</f>
        <v>0</v>
      </c>
      <c r="AD23" s="97">
        <f>MIN(
$S23*MAX(L23-$Q23-AB23-AC23,0),
MAX(0,$O$33-SUMPRODUCT($T$9:$T23,AB$9:AB23)-SUM(AC$9:AC23)-SUM(AD$9:AD22)),
MAX(0,$P$33-SUM($U$33:AA$33)-SUMPRODUCT($T$9:$T23,AB$9:AB23)-SUM(AC$9:AC23)-SUM(AD$9:AD22))
)</f>
        <v>0</v>
      </c>
      <c r="AE23" s="97">
        <f t="shared" si="13"/>
        <v>0</v>
      </c>
    </row>
    <row r="24" spans="1:31" s="66" customFormat="1" ht="17.100000000000001" customHeight="1">
      <c r="A24" s="92" t="s">
        <v>115</v>
      </c>
      <c r="B24" s="90">
        <f>'Cost Estimator'!G26</f>
        <v>0</v>
      </c>
      <c r="C24" s="91">
        <f>B24*Asmpt!$B32</f>
        <v>0</v>
      </c>
      <c r="E24" s="90">
        <f t="shared" si="10"/>
        <v>0</v>
      </c>
      <c r="F24" s="91">
        <f t="shared" si="0"/>
        <v>0</v>
      </c>
      <c r="G24" s="92"/>
      <c r="H24" s="90">
        <f t="shared" si="11"/>
        <v>0</v>
      </c>
      <c r="I24" s="91">
        <f t="shared" si="1"/>
        <v>0</v>
      </c>
      <c r="J24" s="92"/>
      <c r="K24" s="93">
        <f t="shared" si="2"/>
        <v>0</v>
      </c>
      <c r="L24" s="91">
        <f t="shared" si="3"/>
        <v>0</v>
      </c>
      <c r="N24" s="66" t="str">
        <f t="shared" si="4"/>
        <v>Mail Order Non-Preferred Brand</v>
      </c>
      <c r="O24" s="94">
        <f>Asmpt!$C$142</f>
        <v>0</v>
      </c>
      <c r="P24" s="95">
        <f>Asmpt!$C$143</f>
        <v>0</v>
      </c>
      <c r="Q24" s="94">
        <f>Asmpt!$C$144</f>
        <v>0</v>
      </c>
      <c r="R24" s="95">
        <f>Asmpt!$C$145</f>
        <v>1</v>
      </c>
      <c r="S24" s="96">
        <f>IF(Asmpt!$C$146=0,0,Asmpt!$C$47)</f>
        <v>0.2</v>
      </c>
      <c r="T24" s="89">
        <f>Asmpt!$C$51</f>
        <v>1</v>
      </c>
      <c r="U24" s="93"/>
      <c r="V24" s="97">
        <f>IF(E24=0,0,
MIN(
$O24*MAX(E24-CEILING($Q24+$P24*MIN($O$32-SUM(W$9:W23),$P$32-SUM(W$9:W23,$U$35:U$35))/(F24/E24),1),0),
MAX(0,$O$33-SUMPRODUCT($T$9:$T23,V$9:V23)-SUM(W$9:X23)),
MAX(0,$P$33-SUM($U$33:U$33)-SUMPRODUCT($T$9:$T23,V$9:V23)-SUM(W$9:X23))
)
)</f>
        <v>0</v>
      </c>
      <c r="W24" s="97">
        <f>MIN(
$R24*MAX(F24-V24-MIN(F24,$Q24),0),
MAX(0,$O$32-SUM(W$9:W23)),
MAX(0,$P$32-SUM($U$35:U$35)-SUM(W$9:W23)),
MAX(0,$O$33-SUMPRODUCT($T$9:$T24,V$9:V24)-SUM(W$9:X23)),
MAX(0,$P$33-SUM($U$33:U$33)-SUMPRODUCT($T$9:$T24,V$9:V24)-SUM(W$9:X23))
)</f>
        <v>0</v>
      </c>
      <c r="X24" s="97">
        <f>MIN(
$S24*MAX(F24-$Q24-V24-W24,0),
MAX(0,$O$33-SUMPRODUCT($T$9:$T24,V$9:V24)-SUM(W$9:W24)-SUM(X$9:X23)),
MAX(0,$P$33-SUM($U$33:U$33)-SUMPRODUCT($T$9:$T24,V$9:V24)-SUM(W$9:W24)-SUM(X$9:X23))
)</f>
        <v>0</v>
      </c>
      <c r="Y24" s="97">
        <f>IF(H24=0,0,
MIN(
$O24*MAX(H24-CEILING($Q24+$P24*MIN($O$32-SUM(Z$9:Z23),$P$32-SUM(Z$9:Z23,$U$35:X$35))/(I24/H24),1),0),
MAX(0,$O$33-SUMPRODUCT($T$9:$T23,Y$9:Y23)-SUM(Z$9:AA23)),
MAX(0,$P$33-SUM($U$33:X$33)-SUMPRODUCT($T$9:$T23,Y$9:Y23)-SUM(Z$9:AA23))
)
)</f>
        <v>0</v>
      </c>
      <c r="Z24" s="97">
        <f>MIN(
$R24*MAX(I24-Y24-MIN(I24,$Q24),0),
MAX(0,$O$32-SUM(Z$9:Z23)),
MAX(0,$P$32-SUM($U$35:X$35)-SUM(Z$9:Z23)),
MAX(0,$O$33-SUMPRODUCT($T$9:$T24,Y$9:Y24)-SUM(Z$9:AA23)),
MAX(0,$P$33-SUM($U$33:X$33)-SUMPRODUCT($T$9:$T24,Y$9:Y24)-SUM(Z$9:AA23))
)</f>
        <v>0</v>
      </c>
      <c r="AA24" s="97">
        <f>MIN(
$S24*MAX(I24-$Q24-Y24-Z24,0),
MAX(0,$O$33-SUMPRODUCT($T$9:$T24,Y$9:Y24)-SUM(Z$9:Z24)-SUM(AA$9:AA23)),
MAX(0,$P$33-SUM($U$33:X$33)-SUMPRODUCT($T$9:$T24,Y$9:Y24)-SUM(Z$9:Z24)-SUM(AA$9:AA23))
)</f>
        <v>0</v>
      </c>
      <c r="AB24" s="97">
        <f>IF(K24=0,0,
MIN(
$O24*MAX(K24-CEILING($Q24+$P24*MIN($O$32-SUM(AC$9:AC23),$P$32-SUM(AC$9:AC23,$U$35:AA$35))/(L24/K24),1),0),
MAX(0,$O$33-SUMPRODUCT($T$9:$T23,AB$9:AB23)-SUM(AC$9:AD23)),
MAX(0,$P$33-SUM($U$33:AA$33)-SUMPRODUCT($T$9:$T23,AB$9:AB23)-SUM(AC$9:AD23))
)
)</f>
        <v>0</v>
      </c>
      <c r="AC24" s="97">
        <f>MIN(
$R24*MAX(L24-AB24-MIN(L24,$Q24),0),
MAX(0,$O$32-SUM(AC$9:AC23)),
MAX(0,$P$32-SUM($U$35:AA$35)-SUM(AC$9:AC23)),
MAX(0,$O$33-SUMPRODUCT($T$9:$T24,AB$9:AB24)-SUM(AC$9:AD23)),
MAX(0,$P$33-SUM($U$33:AA$33)-SUMPRODUCT($T$9:$T24,AB$9:AB24)-SUM(AC$9:AD23))
)</f>
        <v>0</v>
      </c>
      <c r="AD24" s="97">
        <f>MIN(
$S24*MAX(L24-$Q24-AB24-AC24,0),
MAX(0,$O$33-SUMPRODUCT($T$9:$T24,AB$9:AB24)-SUM(AC$9:AC24)-SUM(AD$9:AD23)),
MAX(0,$P$33-SUM($U$33:AA$33)-SUMPRODUCT($T$9:$T24,AB$9:AB24)-SUM(AC$9:AC24)-SUM(AD$9:AD23))
)</f>
        <v>0</v>
      </c>
      <c r="AE24" s="97">
        <f t="shared" si="13"/>
        <v>0</v>
      </c>
    </row>
    <row r="25" spans="1:31" s="66" customFormat="1" ht="17.100000000000001" customHeight="1">
      <c r="A25" s="92" t="s">
        <v>116</v>
      </c>
      <c r="B25" s="90">
        <f>'Cost Estimator'!G35</f>
        <v>0</v>
      </c>
      <c r="C25" s="91">
        <f>B25*Asmpt!$B33</f>
        <v>0</v>
      </c>
      <c r="E25" s="90">
        <f t="shared" si="10"/>
        <v>0</v>
      </c>
      <c r="F25" s="91">
        <f t="shared" si="0"/>
        <v>0</v>
      </c>
      <c r="G25" s="92"/>
      <c r="H25" s="90">
        <f t="shared" si="11"/>
        <v>0</v>
      </c>
      <c r="I25" s="91">
        <f t="shared" si="1"/>
        <v>0</v>
      </c>
      <c r="J25" s="92"/>
      <c r="K25" s="93">
        <f t="shared" si="2"/>
        <v>0</v>
      </c>
      <c r="L25" s="91">
        <f t="shared" si="3"/>
        <v>0</v>
      </c>
      <c r="N25" s="66" t="str">
        <f t="shared" si="4"/>
        <v>Lab and X-Ray</v>
      </c>
      <c r="O25" s="94">
        <f>Asmpt!$C$148</f>
        <v>0</v>
      </c>
      <c r="P25" s="95">
        <f>Asmpt!$C$149</f>
        <v>0</v>
      </c>
      <c r="Q25" s="94">
        <f>Asmpt!$C$150</f>
        <v>0</v>
      </c>
      <c r="R25" s="95">
        <f>Asmpt!$C$151</f>
        <v>1</v>
      </c>
      <c r="S25" s="96">
        <f>IF(Asmpt!$C$152=0,0,Asmpt!$C$46)</f>
        <v>0.2</v>
      </c>
      <c r="T25" s="89">
        <f>Asmpt!$C$51</f>
        <v>1</v>
      </c>
      <c r="U25" s="93"/>
      <c r="V25" s="97">
        <f>IF(E25=0,0,
MIN(
$O25*MAX(E25-CEILING($Q25+$P25*MIN($O$32-SUM(W$9:W24),$P$32-SUM(W$9:W24,$U$35:U$35))/(F25/E25),1),0),
MAX(0,$O$33-SUMPRODUCT($T$9:$T24,V$9:V24)-SUM(W$9:X24)),
MAX(0,$P$33-SUM($U$33:U$33)-SUMPRODUCT($T$9:$T24,V$9:V24)-SUM(W$9:X24))
)
)</f>
        <v>0</v>
      </c>
      <c r="W25" s="97">
        <f>MIN(
$R25*MAX(F25-V25-MIN(F25,$Q25),0),
MAX(0,$O$32-SUM(W$9:W24)),
MAX(0,$P$32-SUM($U$35:U$35)-SUM(W$9:W24)),
MAX(0,$O$33-SUMPRODUCT($T$9:$T25,V$9:V25)-SUM(W$9:X24)),
MAX(0,$P$33-SUM($U$33:U$33)-SUMPRODUCT($T$9:$T25,V$9:V25)-SUM(W$9:X24))
)</f>
        <v>0</v>
      </c>
      <c r="X25" s="97">
        <f>MIN(
$S25*MAX(F25-$Q25-V25-W25,0),
MAX(0,$O$33-SUMPRODUCT($T$9:$T25,V$9:V25)-SUM(W$9:W25)-SUM(X$9:X24)),
MAX(0,$P$33-SUM($U$33:U$33)-SUMPRODUCT($T$9:$T25,V$9:V25)-SUM(W$9:W25)-SUM(X$9:X24))
)</f>
        <v>0</v>
      </c>
      <c r="Y25" s="97">
        <f>IF(H25=0,0,
MIN(
$O25*MAX(H25-CEILING($Q25+$P25*MIN($O$32-SUM(Z$9:Z24),$P$32-SUM(Z$9:Z24,$U$35:X$35))/(I25/H25),1),0),
MAX(0,$O$33-SUMPRODUCT($T$9:$T24,Y$9:Y24)-SUM(Z$9:AA24)),
MAX(0,$P$33-SUM($U$33:X$33)-SUMPRODUCT($T$9:$T24,Y$9:Y24)-SUM(Z$9:AA24))
)
)</f>
        <v>0</v>
      </c>
      <c r="Z25" s="97">
        <f>MIN(
$R25*MAX(I25-Y25-MIN(I25,$Q25),0),
MAX(0,$O$32-SUM(Z$9:Z24)),
MAX(0,$P$32-SUM($U$35:X$35)-SUM(Z$9:Z24)),
MAX(0,$O$33-SUMPRODUCT($T$9:$T25,Y$9:Y25)-SUM(Z$9:AA24)),
MAX(0,$P$33-SUM($U$33:X$33)-SUMPRODUCT($T$9:$T25,Y$9:Y25)-SUM(Z$9:AA24))
)</f>
        <v>0</v>
      </c>
      <c r="AA25" s="97">
        <f>MIN(
$S25*MAX(I25-$Q25-Y25-Z25,0),
MAX(0,$O$33-SUMPRODUCT($T$9:$T25,Y$9:Y25)-SUM(Z$9:Z25)-SUM(AA$9:AA24)),
MAX(0,$P$33-SUM($U$33:X$33)-SUMPRODUCT($T$9:$T25,Y$9:Y25)-SUM(Z$9:Z25)-SUM(AA$9:AA24))
)</f>
        <v>0</v>
      </c>
      <c r="AB25" s="97">
        <f>IF(K25=0,0,
MIN(
$O25*MAX(K25-CEILING($Q25+$P25*MIN($O$32-SUM(AC$9:AC24),$P$32-SUM(AC$9:AC24,$U$35:AA$35))/(L25/K25),1),0),
MAX(0,$O$33-SUMPRODUCT($T$9:$T24,AB$9:AB24)-SUM(AC$9:AD24)),
MAX(0,$P$33-SUM($U$33:AA$33)-SUMPRODUCT($T$9:$T24,AB$9:AB24)-SUM(AC$9:AD24))
)
)</f>
        <v>0</v>
      </c>
      <c r="AC25" s="97">
        <f>MIN(
$R25*MAX(L25-AB25-MIN(L25,$Q25),0),
MAX(0,$O$32-SUM(AC$9:AC24)),
MAX(0,$P$32-SUM($U$35:AA$35)-SUM(AC$9:AC24)),
MAX(0,$O$33-SUMPRODUCT($T$9:$T25,AB$9:AB25)-SUM(AC$9:AD24)),
MAX(0,$P$33-SUM($U$33:AA$33)-SUMPRODUCT($T$9:$T25,AB$9:AB25)-SUM(AC$9:AD24))
)</f>
        <v>0</v>
      </c>
      <c r="AD25" s="97">
        <f>MIN(
$S25*MAX(L25-$Q25-AB25-AC25,0),
MAX(0,$O$33-SUMPRODUCT($T$9:$T25,AB$9:AB25)-SUM(AC$9:AC25)-SUM(AD$9:AD24)),
MAX(0,$P$33-SUM($U$33:AA$33)-SUMPRODUCT($T$9:$T25,AB$9:AB25)-SUM(AC$9:AC25)-SUM(AD$9:AD24))
)</f>
        <v>0</v>
      </c>
      <c r="AE25" s="97">
        <f t="shared" si="13"/>
        <v>0</v>
      </c>
    </row>
    <row r="26" spans="1:31" s="66" customFormat="1" ht="17.100000000000001" customHeight="1">
      <c r="A26" s="92" t="s">
        <v>225</v>
      </c>
      <c r="B26" s="90">
        <f>'Cost Estimator'!G36</f>
        <v>0</v>
      </c>
      <c r="C26" s="91">
        <f>B26*Asmpt!$B34</f>
        <v>0</v>
      </c>
      <c r="E26" s="90">
        <f t="shared" si="10"/>
        <v>0</v>
      </c>
      <c r="F26" s="91">
        <f t="shared" si="0"/>
        <v>0</v>
      </c>
      <c r="G26" s="92"/>
      <c r="H26" s="90">
        <f t="shared" si="11"/>
        <v>0</v>
      </c>
      <c r="I26" s="91">
        <f t="shared" si="1"/>
        <v>0</v>
      </c>
      <c r="J26" s="92"/>
      <c r="K26" s="93">
        <f t="shared" si="2"/>
        <v>0</v>
      </c>
      <c r="L26" s="91">
        <f t="shared" si="3"/>
        <v>0</v>
      </c>
      <c r="N26" s="66" t="str">
        <f t="shared" si="4"/>
        <v>Advanced Imaging</v>
      </c>
      <c r="O26" s="94">
        <f>Asmpt!$C$154</f>
        <v>0</v>
      </c>
      <c r="P26" s="95">
        <f>Asmpt!$C$155</f>
        <v>0</v>
      </c>
      <c r="Q26" s="94">
        <f>Asmpt!$C$156</f>
        <v>0</v>
      </c>
      <c r="R26" s="95">
        <f>Asmpt!$C$157</f>
        <v>1</v>
      </c>
      <c r="S26" s="96">
        <f>IF(Asmpt!$C$158=0,0,Asmpt!$C$46)</f>
        <v>0.2</v>
      </c>
      <c r="T26" s="89">
        <f>Asmpt!$C$51</f>
        <v>1</v>
      </c>
      <c r="U26" s="93"/>
      <c r="V26" s="97">
        <f>IF(E26=0,0,
MIN(
$O26*MAX(E26-CEILING($Q26+$P26*MIN($O$32-SUM(W$9:W25),$P$32-SUM(W$9:W25,$U$35:U$35))/(F26/E26),1),0),
MAX(0,$O$33-SUMPRODUCT($T$9:$T25,V$9:V25)-SUM(W$9:X25)),
MAX(0,$P$33-SUM($U$33:U$33)-SUMPRODUCT($T$9:$T25,V$9:V25)-SUM(W$9:X25))
)
)</f>
        <v>0</v>
      </c>
      <c r="W26" s="97">
        <f>MIN(
$R26*MAX(F26-V26-MIN(F26,$Q26),0),
MAX(0,$O$32-SUM(W$9:W25)),
MAX(0,$P$32-SUM($U$35:U$35)-SUM(W$9:W25)),
MAX(0,$O$33-SUMPRODUCT($T$9:$T26,V$9:V26)-SUM(W$9:X25)),
MAX(0,$P$33-SUM($U$33:U$33)-SUMPRODUCT($T$9:$T26,V$9:V26)-SUM(W$9:X25))
)</f>
        <v>0</v>
      </c>
      <c r="X26" s="97">
        <f>MIN(
$S26*MAX(F26-$Q26-V26-W26,0),
MAX(0,$O$33-SUMPRODUCT($T$9:$T26,V$9:V26)-SUM(W$9:W26)-SUM(X$9:X25)),
MAX(0,$P$33-SUM($U$33:U$33)-SUMPRODUCT($T$9:$T26,V$9:V26)-SUM(W$9:W26)-SUM(X$9:X25))
)</f>
        <v>0</v>
      </c>
      <c r="Y26" s="97">
        <f>IF(H26=0,0,
MIN(
$O26*MAX(H26-CEILING($Q26+$P26*MIN($O$32-SUM(Z$9:Z25),$P$32-SUM(Z$9:Z25,$U$35:X$35))/(I26/H26),1),0),
MAX(0,$O$33-SUMPRODUCT($T$9:$T25,Y$9:Y25)-SUM(Z$9:AA25)),
MAX(0,$P$33-SUM($U$33:X$33)-SUMPRODUCT($T$9:$T25,Y$9:Y25)-SUM(Z$9:AA25))
)
)</f>
        <v>0</v>
      </c>
      <c r="Z26" s="97">
        <f>MIN(
$R26*MAX(I26-Y26-MIN(I26,$Q26),0),
MAX(0,$O$32-SUM(Z$9:Z25)),
MAX(0,$P$32-SUM($U$35:X$35)-SUM(Z$9:Z25)),
MAX(0,$O$33-SUMPRODUCT($T$9:$T26,Y$9:Y26)-SUM(Z$9:AA25)),
MAX(0,$P$33-SUM($U$33:X$33)-SUMPRODUCT($T$9:$T26,Y$9:Y26)-SUM(Z$9:AA25))
)</f>
        <v>0</v>
      </c>
      <c r="AA26" s="97">
        <f>MIN(
$S26*MAX(I26-$Q26-Y26-Z26,0),
MAX(0,$O$33-SUMPRODUCT($T$9:$T26,Y$9:Y26)-SUM(Z$9:Z26)-SUM(AA$9:AA25)),
MAX(0,$P$33-SUM($U$33:X$33)-SUMPRODUCT($T$9:$T26,Y$9:Y26)-SUM(Z$9:Z26)-SUM(AA$9:AA25))
)</f>
        <v>0</v>
      </c>
      <c r="AB26" s="97">
        <f>IF(K26=0,0,
MIN(
$O26*MAX(K26-CEILING($Q26+$P26*MIN($O$32-SUM(AC$9:AC25),$P$32-SUM(AC$9:AC25,$U$35:AA$35))/(L26/K26),1),0),
MAX(0,$O$33-SUMPRODUCT($T$9:$T25,AB$9:AB25)-SUM(AC$9:AD25)),
MAX(0,$P$33-SUM($U$33:AA$33)-SUMPRODUCT($T$9:$T25,AB$9:AB25)-SUM(AC$9:AD25))
)
)</f>
        <v>0</v>
      </c>
      <c r="AC26" s="97">
        <f>MIN(
$R26*MAX(L26-AB26-MIN(L26,$Q26),0),
MAX(0,$O$32-SUM(AC$9:AC25)),
MAX(0,$P$32-SUM($U$35:AA$35)-SUM(AC$9:AC25)),
MAX(0,$O$33-SUMPRODUCT($T$9:$T26,AB$9:AB26)-SUM(AC$9:AD25)),
MAX(0,$P$33-SUM($U$33:AA$33)-SUMPRODUCT($T$9:$T26,AB$9:AB26)-SUM(AC$9:AD25))
)</f>
        <v>0</v>
      </c>
      <c r="AD26" s="97">
        <f>MIN(
$S26*MAX(L26-$Q26-AB26-AC26,0),
MAX(0,$O$33-SUMPRODUCT($T$9:$T26,AB$9:AB26)-SUM(AC$9:AC26)-SUM(AD$9:AD25)),
MAX(0,$P$33-SUM($U$33:AA$33)-SUMPRODUCT($T$9:$T26,AB$9:AB26)-SUM(AC$9:AC26)-SUM(AD$9:AD25))
)</f>
        <v>0</v>
      </c>
      <c r="AE26" s="97">
        <f t="shared" si="13"/>
        <v>0</v>
      </c>
    </row>
    <row r="27" spans="1:31" s="66" customFormat="1" ht="17.100000000000001" customHeight="1" outlineLevel="1">
      <c r="A27" s="92" t="s">
        <v>226</v>
      </c>
      <c r="B27" s="90">
        <f>'Cost Estimator'!G37</f>
        <v>0</v>
      </c>
      <c r="C27" s="91">
        <f>B27*Asmpt!$B35</f>
        <v>0</v>
      </c>
      <c r="E27" s="90">
        <f t="shared" si="10"/>
        <v>0</v>
      </c>
      <c r="F27" s="91">
        <f t="shared" si="0"/>
        <v>0</v>
      </c>
      <c r="G27" s="92"/>
      <c r="H27" s="90">
        <f t="shared" si="11"/>
        <v>0</v>
      </c>
      <c r="I27" s="91">
        <f t="shared" si="1"/>
        <v>0</v>
      </c>
      <c r="J27" s="92"/>
      <c r="K27" s="93">
        <f t="shared" si="2"/>
        <v>0</v>
      </c>
      <c r="L27" s="91">
        <f t="shared" si="3"/>
        <v>0</v>
      </c>
      <c r="N27" s="66" t="str">
        <f t="shared" si="4"/>
        <v>[HOLD]</v>
      </c>
      <c r="O27" s="94">
        <f>Asmpt!$C$160</f>
        <v>0</v>
      </c>
      <c r="P27" s="95">
        <f>Asmpt!$C$161</f>
        <v>0</v>
      </c>
      <c r="Q27" s="94">
        <f>Asmpt!$C$162</f>
        <v>0</v>
      </c>
      <c r="R27" s="95">
        <f>Asmpt!$C$163</f>
        <v>1</v>
      </c>
      <c r="S27" s="96">
        <f>IF(Asmpt!$C$164=0,0,Asmpt!$C$46)</f>
        <v>0.2</v>
      </c>
      <c r="T27" s="89">
        <f>Asmpt!$C$51</f>
        <v>1</v>
      </c>
      <c r="U27" s="93"/>
      <c r="V27" s="97">
        <f>IF(E27=0,0,
MIN(
$O27*MAX(E27-CEILING($Q27+$P27*MIN($O$32-SUM(W$9:W26),$P$32-SUM(W$9:W26,$U$35:U$35))/(F27/E27),1),0),
MAX(0,$O$33-SUMPRODUCT($T$9:$T26,V$9:V26)-SUM(W$9:X26)),
MAX(0,$P$33-SUM($U$33:U$33)-SUMPRODUCT($T$9:$T26,V$9:V26)-SUM(W$9:X26))
)
)</f>
        <v>0</v>
      </c>
      <c r="W27" s="97">
        <f>MIN(
$R27*MAX(F27-V27-MIN(F27,$Q27),0),
MAX(0,$O$32-SUM(W$9:W26)),
MAX(0,$P$32-SUM($U$35:U$35)-SUM(W$9:W26)),
MAX(0,$O$33-SUMPRODUCT($T$9:$T27,V$9:V27)-SUM(W$9:X26)),
MAX(0,$P$33-SUM($U$33:U$33)-SUMPRODUCT($T$9:$T27,V$9:V27)-SUM(W$9:X26))
)</f>
        <v>0</v>
      </c>
      <c r="X27" s="97">
        <f>MIN(
$S27*MAX(F27-$Q27-V27-W27,0),
MAX(0,$O$33-SUMPRODUCT($T$9:$T27,V$9:V27)-SUM(W$9:W27)-SUM(X$9:X26)),
MAX(0,$P$33-SUM($U$33:U$33)-SUMPRODUCT($T$9:$T27,V$9:V27)-SUM(W$9:W27)-SUM(X$9:X26))
)</f>
        <v>0</v>
      </c>
      <c r="Y27" s="97">
        <f>IF(H27=0,0,
MIN(
$O27*MAX(H27-CEILING($Q27+$P27*MIN($O$32-SUM(Z$9:Z26),$P$32-SUM(Z$9:Z26,$U$35:X$35))/(I27/H27),1),0),
MAX(0,$O$33-SUMPRODUCT($T$9:$T26,Y$9:Y26)-SUM(Z$9:AA26)),
MAX(0,$P$33-SUM($U$33:X$33)-SUMPRODUCT($T$9:$T26,Y$9:Y26)-SUM(Z$9:AA26))
)
)</f>
        <v>0</v>
      </c>
      <c r="Z27" s="97">
        <f>MIN(
$R27*MAX(I27-Y27-MIN(I27,$Q27),0),
MAX(0,$O$32-SUM(Z$9:Z26)),
MAX(0,$P$32-SUM($U$35:X$35)-SUM(Z$9:Z26)),
MAX(0,$O$33-SUMPRODUCT($T$9:$T27,Y$9:Y27)-SUM(Z$9:AA26)),
MAX(0,$P$33-SUM($U$33:X$33)-SUMPRODUCT($T$9:$T27,Y$9:Y27)-SUM(Z$9:AA26))
)</f>
        <v>0</v>
      </c>
      <c r="AA27" s="97">
        <f>MIN(
$S27*MAX(I27-$Q27-Y27-Z27,0),
MAX(0,$O$33-SUMPRODUCT($T$9:$T27,Y$9:Y27)-SUM(Z$9:Z27)-SUM(AA$9:AA26)),
MAX(0,$P$33-SUM($U$33:X$33)-SUMPRODUCT($T$9:$T27,Y$9:Y27)-SUM(Z$9:Z27)-SUM(AA$9:AA26))
)</f>
        <v>0</v>
      </c>
      <c r="AB27" s="97">
        <f>IF(K27=0,0,
MIN(
$O27*MAX(K27-CEILING($Q27+$P27*MIN($O$32-SUM(AC$9:AC26),$P$32-SUM(AC$9:AC26,$U$35:AA$35))/(L27/K27),1),0),
MAX(0,$O$33-SUMPRODUCT($T$9:$T26,AB$9:AB26)-SUM(AC$9:AD26)),
MAX(0,$P$33-SUM($U$33:AA$33)-SUMPRODUCT($T$9:$T26,AB$9:AB26)-SUM(AC$9:AD26))
)
)</f>
        <v>0</v>
      </c>
      <c r="AC27" s="97">
        <f>MIN(
$R27*MAX(L27-AB27-MIN(L27,$Q27),0),
MAX(0,$O$32-SUM(AC$9:AC26)),
MAX(0,$P$32-SUM($U$35:AA$35)-SUM(AC$9:AC26)),
MAX(0,$O$33-SUMPRODUCT($T$9:$T27,AB$9:AB27)-SUM(AC$9:AD26)),
MAX(0,$P$33-SUM($U$33:AA$33)-SUMPRODUCT($T$9:$T27,AB$9:AB27)-SUM(AC$9:AD26))
)</f>
        <v>0</v>
      </c>
      <c r="AD27" s="97">
        <f>MIN(
$S27*MAX(L27-$Q27-AB27-AC27,0),
MAX(0,$O$33-SUMPRODUCT($T$9:$T27,AB$9:AB27)-SUM(AC$9:AC27)-SUM(AD$9:AD26)),
MAX(0,$P$33-SUM($U$33:AA$33)-SUMPRODUCT($T$9:$T27,AB$9:AB27)-SUM(AC$9:AC27)-SUM(AD$9:AD26))
)</f>
        <v>0</v>
      </c>
      <c r="AE27" s="97">
        <f t="shared" si="13"/>
        <v>0</v>
      </c>
    </row>
    <row r="28" spans="1:31" s="66" customFormat="1" ht="17.100000000000001" customHeight="1">
      <c r="A28" s="92" t="s">
        <v>117</v>
      </c>
      <c r="B28" s="90">
        <f>ROUNDUP(C28/5000,0)</f>
        <v>0</v>
      </c>
      <c r="C28" s="91">
        <f>'Cost Estimator'!G42</f>
        <v>0</v>
      </c>
      <c r="E28" s="90">
        <f t="shared" si="10"/>
        <v>0</v>
      </c>
      <c r="F28" s="91">
        <f t="shared" si="0"/>
        <v>0</v>
      </c>
      <c r="G28" s="92"/>
      <c r="H28" s="90">
        <f t="shared" si="11"/>
        <v>0</v>
      </c>
      <c r="I28" s="91">
        <f t="shared" si="1"/>
        <v>0</v>
      </c>
      <c r="J28" s="92"/>
      <c r="K28" s="93">
        <f t="shared" si="2"/>
        <v>0</v>
      </c>
      <c r="L28" s="91">
        <f t="shared" si="3"/>
        <v>0</v>
      </c>
      <c r="N28" s="66" t="str">
        <f t="shared" si="4"/>
        <v>Outpatient Procedures (Surgery)</v>
      </c>
      <c r="O28" s="94">
        <f>Asmpt!$C$166</f>
        <v>0</v>
      </c>
      <c r="P28" s="95">
        <f>Asmpt!$C$167</f>
        <v>0</v>
      </c>
      <c r="Q28" s="94">
        <f>Asmpt!$C$168</f>
        <v>0</v>
      </c>
      <c r="R28" s="95">
        <f>Asmpt!$C$169</f>
        <v>1</v>
      </c>
      <c r="S28" s="96">
        <f>IF(Asmpt!$C$170=0,0,Asmpt!$C$46)</f>
        <v>0.2</v>
      </c>
      <c r="T28" s="89">
        <f>Asmpt!$C$51</f>
        <v>1</v>
      </c>
      <c r="U28" s="93"/>
      <c r="V28" s="97">
        <f>IF(E28=0,0,
MIN(
$O28*MAX(E28-CEILING($Q28+$P28*MIN($O$32-SUM(W$9:W27),$P$32-SUM(W$9:W27,$U$35:U$35))/(F28/E28),1),0),
MAX(0,$O$33-SUMPRODUCT($T$9:$T27,V$9:V27)-SUM(W$9:X27)),
MAX(0,$P$33-SUM($U$33:U$33)-SUMPRODUCT($T$9:$T27,V$9:V27)-SUM(W$9:X27))
)
)</f>
        <v>0</v>
      </c>
      <c r="W28" s="97">
        <f>MIN(
$R28*MAX(F28-V28-MIN(F28,$Q28),0),
MAX(0,$O$32-SUM(W$9:W27)),
MAX(0,$P$32-SUM($U$35:U$35)-SUM(W$9:W27)),
MAX(0,$O$33-SUMPRODUCT($T$9:$T28,V$9:V28)-SUM(W$9:X27)),
MAX(0,$P$33-SUM($U$33:U$33)-SUMPRODUCT($T$9:$T28,V$9:V28)-SUM(W$9:X27))
)</f>
        <v>0</v>
      </c>
      <c r="X28" s="97">
        <f>MIN(
$S28*MAX(F28-$Q28-V28-W28,0),
MAX(0,$O$33-SUMPRODUCT($T$9:$T28,V$9:V28)-SUM(W$9:W28)-SUM(X$9:X27)),
MAX(0,$P$33-SUM($U$33:U$33)-SUMPRODUCT($T$9:$T28,V$9:V28)-SUM(W$9:W28)-SUM(X$9:X27))
)</f>
        <v>0</v>
      </c>
      <c r="Y28" s="97">
        <f>IF(H28=0,0,
MIN(
$O28*MAX(H28-CEILING($Q28+$P28*MIN($O$32-SUM(Z$9:Z27),$P$32-SUM(Z$9:Z27,$U$35:X$35))/(I28/H28),1),0),
MAX(0,$O$33-SUMPRODUCT($T$9:$T27,Y$9:Y27)-SUM(Z$9:AA27)),
MAX(0,$P$33-SUM($U$33:X$33)-SUMPRODUCT($T$9:$T27,Y$9:Y27)-SUM(Z$9:AA27))
)
)</f>
        <v>0</v>
      </c>
      <c r="Z28" s="97">
        <f>MIN(
$R28*MAX(I28-Y28-MIN(I28,$Q28),0),
MAX(0,$O$32-SUM(Z$9:Z27)),
MAX(0,$P$32-SUM($U$35:X$35)-SUM(Z$9:Z27)),
MAX(0,$O$33-SUMPRODUCT($T$9:$T28,Y$9:Y28)-SUM(Z$9:AA27)),
MAX(0,$P$33-SUM($U$33:X$33)-SUMPRODUCT($T$9:$T28,Y$9:Y28)-SUM(Z$9:AA27))
)</f>
        <v>0</v>
      </c>
      <c r="AA28" s="97">
        <f>MIN(
$S28*MAX(I28-$Q28-Y28-Z28,0),
MAX(0,$O$33-SUMPRODUCT($T$9:$T28,Y$9:Y28)-SUM(Z$9:Z28)-SUM(AA$9:AA27)),
MAX(0,$P$33-SUM($U$33:X$33)-SUMPRODUCT($T$9:$T28,Y$9:Y28)-SUM(Z$9:Z28)-SUM(AA$9:AA27))
)</f>
        <v>0</v>
      </c>
      <c r="AB28" s="97">
        <f>IF(K28=0,0,
MIN(
$O28*MAX(K28-CEILING($Q28+$P28*MIN($O$32-SUM(AC$9:AC27),$P$32-SUM(AC$9:AC27,$U$35:AA$35))/(L28/K28),1),0),
MAX(0,$O$33-SUMPRODUCT($T$9:$T27,AB$9:AB27)-SUM(AC$9:AD27)),
MAX(0,$P$33-SUM($U$33:AA$33)-SUMPRODUCT($T$9:$T27,AB$9:AB27)-SUM(AC$9:AD27))
)
)</f>
        <v>0</v>
      </c>
      <c r="AC28" s="97">
        <f>MIN(
$R28*MAX(L28-AB28-MIN(L28,$Q28),0),
MAX(0,$O$32-SUM(AC$9:AC27)),
MAX(0,$P$32-SUM($U$35:AA$35)-SUM(AC$9:AC27)),
MAX(0,$O$33-SUMPRODUCT($T$9:$T28,AB$9:AB28)-SUM(AC$9:AD27)),
MAX(0,$P$33-SUM($U$33:AA$33)-SUMPRODUCT($T$9:$T28,AB$9:AB28)-SUM(AC$9:AD27))
)</f>
        <v>0</v>
      </c>
      <c r="AD28" s="97">
        <f>MIN(
$S28*MAX(L28-$Q28-AB28-AC28,0),
MAX(0,$O$33-SUMPRODUCT($T$9:$T28,AB$9:AB28)-SUM(AC$9:AC28)-SUM(AD$9:AD27)),
MAX(0,$P$33-SUM($U$33:AA$33)-SUMPRODUCT($T$9:$T28,AB$9:AB28)-SUM(AC$9:AC28)-SUM(AD$9:AD27))
)</f>
        <v>0</v>
      </c>
      <c r="AE28" s="97">
        <f t="shared" si="13"/>
        <v>0</v>
      </c>
    </row>
    <row r="29" spans="1:31" s="66" customFormat="1" ht="17.100000000000001" customHeight="1">
      <c r="A29" s="92" t="s">
        <v>5</v>
      </c>
      <c r="B29" s="90">
        <f>ROUNDUP(C29/5000,0)</f>
        <v>0</v>
      </c>
      <c r="C29" s="91">
        <f>'Cost Estimator'!G46</f>
        <v>0</v>
      </c>
      <c r="E29" s="90">
        <f t="shared" si="10"/>
        <v>0</v>
      </c>
      <c r="F29" s="91">
        <f t="shared" si="0"/>
        <v>0</v>
      </c>
      <c r="G29" s="92"/>
      <c r="H29" s="90">
        <f t="shared" si="11"/>
        <v>0</v>
      </c>
      <c r="I29" s="91">
        <f t="shared" si="1"/>
        <v>0</v>
      </c>
      <c r="J29" s="92"/>
      <c r="K29" s="93">
        <f t="shared" si="2"/>
        <v>0</v>
      </c>
      <c r="L29" s="91">
        <f t="shared" si="3"/>
        <v>0</v>
      </c>
      <c r="N29" s="66" t="str">
        <f t="shared" si="4"/>
        <v>Other</v>
      </c>
      <c r="O29" s="94">
        <f>Asmpt!$C$172</f>
        <v>0</v>
      </c>
      <c r="P29" s="95">
        <f>Asmpt!$C$173</f>
        <v>0</v>
      </c>
      <c r="Q29" s="94">
        <f>Asmpt!$C$174</f>
        <v>0</v>
      </c>
      <c r="R29" s="95">
        <f>Asmpt!$C$175</f>
        <v>1</v>
      </c>
      <c r="S29" s="96">
        <f>IF(Asmpt!$C$176=0,0,Asmpt!$C$46)</f>
        <v>0.2</v>
      </c>
      <c r="T29" s="89">
        <f>Asmpt!$C$51</f>
        <v>1</v>
      </c>
      <c r="U29" s="93"/>
      <c r="V29" s="97">
        <f>IF(E29=0,0,
MIN(
$O29*MAX(E29-CEILING($Q29+$P29*MIN($O$32-SUM(W$9:W28),$P$32-SUM(W$9:W28,$U$35:U$35))/(F29/E29),1),0),
MAX(0,$O$33-SUMPRODUCT($T$9:$T28,V$9:V28)-SUM(W$9:X28)),
MAX(0,$P$33-SUM($U$33:U$33)-SUMPRODUCT($T$9:$T28,V$9:V28)-SUM(W$9:X28))
)
)</f>
        <v>0</v>
      </c>
      <c r="W29" s="97">
        <f>MIN(
$R29*MAX(F29-V29-MIN(F29,$Q29),0),
MAX(0,$O$32-SUM(W$9:W28)),
MAX(0,$P$32-SUM($U$35:U$35)-SUM(W$9:W28)),
MAX(0,$O$33-SUMPRODUCT($T$9:$T29,V$9:V29)-SUM(W$9:X28)),
MAX(0,$P$33-SUM($U$33:U$33)-SUMPRODUCT($T$9:$T29,V$9:V29)-SUM(W$9:X28))
)</f>
        <v>0</v>
      </c>
      <c r="X29" s="97">
        <f>MIN(
$S29*MAX(F29-$Q29-V29-W29,0),
MAX(0,$O$33-SUMPRODUCT($T$9:$T29,V$9:V29)-SUM(W$9:W29)-SUM(X$9:X28)),
MAX(0,$P$33-SUM($U$33:U$33)-SUMPRODUCT($T$9:$T29,V$9:V29)-SUM(W$9:W29)-SUM(X$9:X28))
)</f>
        <v>0</v>
      </c>
      <c r="Y29" s="97">
        <f>IF(H29=0,0,
MIN(
$O29*MAX(H29-CEILING($Q29+$P29*MIN($O$32-SUM(Z$9:Z28),$P$32-SUM(Z$9:Z28,$U$35:X$35))/(I29/H29),1),0),
MAX(0,$O$33-SUMPRODUCT($T$9:$T28,Y$9:Y28)-SUM(Z$9:AA28)),
MAX(0,$P$33-SUM($U$33:X$33)-SUMPRODUCT($T$9:$T28,Y$9:Y28)-SUM(Z$9:AA28))
)
)</f>
        <v>0</v>
      </c>
      <c r="Z29" s="97">
        <f>MIN(
$R29*MAX(I29-Y29-MIN(I29,$Q29),0),
MAX(0,$O$32-SUM(Z$9:Z28)),
MAX(0,$P$32-SUM($U$35:X$35)-SUM(Z$9:Z28)),
MAX(0,$O$33-SUMPRODUCT($T$9:$T29,Y$9:Y29)-SUM(Z$9:AA28)),
MAX(0,$P$33-SUM($U$33:X$33)-SUMPRODUCT($T$9:$T29,Y$9:Y29)-SUM(Z$9:AA28))
)</f>
        <v>0</v>
      </c>
      <c r="AA29" s="97">
        <f>MIN(
$S29*MAX(I29-$Q29-Y29-Z29,0),
MAX(0,$O$33-SUMPRODUCT($T$9:$T29,Y$9:Y29)-SUM(Z$9:Z29)-SUM(AA$9:AA28)),
MAX(0,$P$33-SUM($U$33:X$33)-SUMPRODUCT($T$9:$T29,Y$9:Y29)-SUM(Z$9:Z29)-SUM(AA$9:AA28))
)</f>
        <v>0</v>
      </c>
      <c r="AB29" s="97">
        <f>IF(K29=0,0,
MIN(
$O29*MAX(K29-CEILING($Q29+$P29*MIN($O$32-SUM(AC$9:AC28),$P$32-SUM(AC$9:AC28,$U$35:AA$35))/(L29/K29),1),0),
MAX(0,$O$33-SUMPRODUCT($T$9:$T28,AB$9:AB28)-SUM(AC$9:AD28)),
MAX(0,$P$33-SUM($U$33:AA$33)-SUMPRODUCT($T$9:$T28,AB$9:AB28)-SUM(AC$9:AD28))
)
)</f>
        <v>0</v>
      </c>
      <c r="AC29" s="97">
        <f>MIN(
$R29*MAX(L29-AB29-MIN(L29,$Q29),0),
MAX(0,$O$32-SUM(AC$9:AC28)),
MAX(0,$P$32-SUM($U$35:AA$35)-SUM(AC$9:AC28)),
MAX(0,$O$33-SUMPRODUCT($T$9:$T29,AB$9:AB29)-SUM(AC$9:AD28)),
MAX(0,$P$33-SUM($U$33:AA$33)-SUMPRODUCT($T$9:$T29,AB$9:AB29)-SUM(AC$9:AD28))
)</f>
        <v>0</v>
      </c>
      <c r="AD29" s="97">
        <f>MIN(
$S29*MAX(L29-$Q29-AB29-AC29,0),
MAX(0,$O$33-SUMPRODUCT($T$9:$T29,AB$9:AB29)-SUM(AC$9:AC29)-SUM(AD$9:AD28)),
MAX(0,$P$33-SUM($U$33:AA$33)-SUMPRODUCT($T$9:$T29,AB$9:AB29)-SUM(AC$9:AC29)-SUM(AD$9:AD28))
)</f>
        <v>0</v>
      </c>
      <c r="AE29" s="97">
        <f t="shared" si="13"/>
        <v>0</v>
      </c>
    </row>
    <row r="30" spans="1:31" s="66" customFormat="1" ht="17.100000000000001" customHeight="1">
      <c r="B30" s="93"/>
      <c r="C30" s="91"/>
      <c r="O30" s="94"/>
      <c r="P30" s="94"/>
      <c r="Q30" s="94"/>
      <c r="R30" s="89"/>
      <c r="S30" s="96"/>
      <c r="T30" s="89"/>
      <c r="U30" s="93"/>
      <c r="V30" s="97"/>
      <c r="W30" s="97"/>
      <c r="X30" s="97"/>
      <c r="Y30" s="97"/>
      <c r="Z30" s="97"/>
      <c r="AA30" s="97"/>
      <c r="AB30" s="97"/>
      <c r="AC30" s="97"/>
      <c r="AD30" s="97"/>
      <c r="AE30" s="97"/>
    </row>
    <row r="31" spans="1:31" s="66" customFormat="1" ht="17.100000000000001" customHeight="1">
      <c r="A31" s="66" t="s">
        <v>29</v>
      </c>
      <c r="B31" s="93"/>
      <c r="C31" s="91">
        <f>SUM(C10:C29)</f>
        <v>0</v>
      </c>
      <c r="F31" s="91">
        <f>SUM(F10:F29)</f>
        <v>0</v>
      </c>
      <c r="I31" s="91">
        <f>SUM(I10:I29)</f>
        <v>0</v>
      </c>
      <c r="L31" s="91">
        <f>SUM(L10:L29)</f>
        <v>0</v>
      </c>
      <c r="O31" s="99" t="str">
        <f>IF(E71=1, "Ind","Fam Mbr")</f>
        <v>Ind</v>
      </c>
      <c r="P31" s="99" t="s">
        <v>123</v>
      </c>
      <c r="Q31" s="99"/>
      <c r="U31" s="98" t="s">
        <v>93</v>
      </c>
      <c r="V31" s="97">
        <f t="shared" ref="V31:AE31" si="14">SUM(V10:V29)</f>
        <v>0</v>
      </c>
      <c r="W31" s="97">
        <f t="shared" si="14"/>
        <v>0</v>
      </c>
      <c r="X31" s="97">
        <f t="shared" si="14"/>
        <v>0</v>
      </c>
      <c r="Y31" s="97">
        <f t="shared" si="14"/>
        <v>0</v>
      </c>
      <c r="Z31" s="97">
        <f t="shared" si="14"/>
        <v>0</v>
      </c>
      <c r="AA31" s="97">
        <f t="shared" si="14"/>
        <v>0</v>
      </c>
      <c r="AB31" s="97">
        <f t="shared" si="14"/>
        <v>0</v>
      </c>
      <c r="AC31" s="97">
        <f t="shared" si="14"/>
        <v>0</v>
      </c>
      <c r="AD31" s="97">
        <f t="shared" si="14"/>
        <v>0</v>
      </c>
      <c r="AE31" s="97">
        <f t="shared" si="14"/>
        <v>0</v>
      </c>
    </row>
    <row r="32" spans="1:31" s="66" customFormat="1" ht="17.100000000000001" customHeight="1">
      <c r="B32" s="93"/>
      <c r="C32" s="94"/>
      <c r="N32" s="66" t="s">
        <v>88</v>
      </c>
      <c r="O32" s="94">
        <f>IF(E71=1,Asmpt!$C44,IF(Asmpt!$C53=1,Asmpt!$C44,Asmpt!$C45))</f>
        <v>2800</v>
      </c>
      <c r="P32" s="94">
        <f>IF(E71=1,O32,Asmpt!$C45)</f>
        <v>2800</v>
      </c>
      <c r="Q32" s="94"/>
    </row>
    <row r="33" spans="1:31" s="75" customFormat="1" ht="17.100000000000001" customHeight="1">
      <c r="A33" s="76" t="s">
        <v>94</v>
      </c>
      <c r="B33" s="76"/>
      <c r="C33" s="77" t="str">
        <f>Asmpt!$C$43</f>
        <v>HSA</v>
      </c>
      <c r="D33" s="66"/>
      <c r="E33" s="66"/>
      <c r="F33" s="66"/>
      <c r="G33" s="66"/>
      <c r="H33" s="66"/>
      <c r="I33" s="66"/>
      <c r="J33" s="66"/>
      <c r="K33" s="66"/>
      <c r="L33" s="66"/>
      <c r="M33" s="66"/>
      <c r="N33" s="66" t="s">
        <v>95</v>
      </c>
      <c r="O33" s="94">
        <f>IF(E71=1,Asmpt!$C48,IF(Asmpt!$C54=1,Asmpt!$C48,Asmpt!$C50))</f>
        <v>4500</v>
      </c>
      <c r="P33" s="94">
        <f>IF(E71=1,O33,Asmpt!$C49)</f>
        <v>4500</v>
      </c>
      <c r="Q33" s="94"/>
      <c r="U33" s="98" t="s">
        <v>96</v>
      </c>
      <c r="V33" s="97">
        <f>SUMPRODUCT(T10:T29,V10:V29)</f>
        <v>0</v>
      </c>
      <c r="W33" s="100">
        <f>W31</f>
        <v>0</v>
      </c>
      <c r="X33" s="100">
        <f>X31</f>
        <v>0</v>
      </c>
      <c r="Y33" s="97">
        <f>SUMPRODUCT(T10:T29,Y10:Y29)</f>
        <v>0</v>
      </c>
      <c r="Z33" s="100">
        <f>Z31</f>
        <v>0</v>
      </c>
      <c r="AA33" s="100">
        <f>AA31</f>
        <v>0</v>
      </c>
      <c r="AB33" s="97">
        <f>SUMPRODUCT(T10:T29,AB10:AB29)</f>
        <v>0</v>
      </c>
      <c r="AC33" s="100">
        <f>AC31</f>
        <v>0</v>
      </c>
      <c r="AD33" s="100">
        <f>AD31</f>
        <v>0</v>
      </c>
    </row>
    <row r="34" spans="1:31" s="66" customFormat="1" ht="17.100000000000001" customHeight="1">
      <c r="A34" s="66" t="s">
        <v>87</v>
      </c>
      <c r="C34" s="94">
        <f>Y38</f>
        <v>0</v>
      </c>
    </row>
    <row r="35" spans="1:31" s="66" customFormat="1" ht="17.100000000000001" customHeight="1">
      <c r="A35" s="66" t="s">
        <v>88</v>
      </c>
      <c r="C35" s="94">
        <f>Z38</f>
        <v>0</v>
      </c>
      <c r="U35" s="98" t="s">
        <v>98</v>
      </c>
      <c r="V35" s="97"/>
      <c r="W35" s="100">
        <f>W33</f>
        <v>0</v>
      </c>
      <c r="X35" s="100"/>
      <c r="Y35" s="97"/>
      <c r="Z35" s="100">
        <f>Z33</f>
        <v>0</v>
      </c>
      <c r="AA35" s="100"/>
      <c r="AB35" s="97"/>
      <c r="AC35" s="100">
        <f>AC33</f>
        <v>0</v>
      </c>
      <c r="AD35" s="100"/>
    </row>
    <row r="36" spans="1:31" s="66" customFormat="1" ht="17.100000000000001" customHeight="1">
      <c r="A36" s="66" t="s">
        <v>6</v>
      </c>
      <c r="C36" s="94">
        <f>AA38</f>
        <v>0</v>
      </c>
      <c r="O36" s="101"/>
      <c r="P36" s="101"/>
      <c r="Q36" s="101"/>
    </row>
    <row r="37" spans="1:31" s="66" customFormat="1" ht="17.100000000000001" customHeight="1">
      <c r="A37" s="66" t="str">
        <f>Asmpt!$AA$39</f>
        <v>(Less HSA Reimbursement)</v>
      </c>
      <c r="C37" s="94">
        <f>-MIN(SUM(C34:C36),INDEX(Asmpt!$C184:$C189,'Plan 2 Calcs'!E71))</f>
        <v>0</v>
      </c>
      <c r="X37" s="93" t="s">
        <v>99</v>
      </c>
      <c r="Y37" s="102" t="s">
        <v>87</v>
      </c>
      <c r="Z37" s="102" t="s">
        <v>88</v>
      </c>
      <c r="AA37" s="102" t="s">
        <v>6</v>
      </c>
      <c r="AB37" s="66" t="s">
        <v>100</v>
      </c>
    </row>
    <row r="38" spans="1:31" s="66" customFormat="1" ht="17.100000000000001" customHeight="1">
      <c r="A38" s="66" t="s">
        <v>101</v>
      </c>
      <c r="C38" s="94">
        <f>SUM(C34:C37)</f>
        <v>0</v>
      </c>
      <c r="Y38" s="97">
        <f>SUM(V31,Y31,AB31)</f>
        <v>0</v>
      </c>
      <c r="Z38" s="97">
        <f>SUM(W31,Z31,AC31)</f>
        <v>0</v>
      </c>
      <c r="AA38" s="97">
        <f>SUM(X31,AA31,AD31)</f>
        <v>0</v>
      </c>
      <c r="AB38" s="97">
        <f>SUM(Y38:AA38)</f>
        <v>0</v>
      </c>
      <c r="AD38" s="100" t="s">
        <v>97</v>
      </c>
      <c r="AE38" s="100" t="b">
        <f>SUM(V31:AE31)=C31</f>
        <v>1</v>
      </c>
    </row>
    <row r="39" spans="1:31" s="66" customFormat="1" ht="17.100000000000001" customHeight="1">
      <c r="C39" s="94"/>
    </row>
    <row r="40" spans="1:31" s="66" customFormat="1" ht="17.100000000000001" customHeight="1">
      <c r="A40" s="66" t="s">
        <v>102</v>
      </c>
      <c r="B40" s="103"/>
      <c r="C40" s="94">
        <f>'Cost Estimator'!F57</f>
        <v>924</v>
      </c>
    </row>
    <row r="41" spans="1:31" s="66" customFormat="1" ht="17.100000000000001" customHeight="1">
      <c r="B41" s="93"/>
      <c r="C41" s="93"/>
    </row>
    <row r="42" spans="1:31" s="75" customFormat="1" ht="17.100000000000001" customHeight="1">
      <c r="A42" s="104" t="s">
        <v>29</v>
      </c>
      <c r="B42" s="104"/>
      <c r="C42" s="105">
        <f>C38+C40</f>
        <v>924</v>
      </c>
      <c r="D42" s="66"/>
      <c r="E42" s="66"/>
      <c r="F42" s="66"/>
      <c r="G42" s="66"/>
      <c r="H42" s="66"/>
      <c r="I42" s="66"/>
      <c r="J42" s="66"/>
      <c r="K42" s="66"/>
      <c r="L42" s="66"/>
      <c r="M42" s="66"/>
      <c r="N42" s="66"/>
    </row>
    <row r="43" spans="1:31" s="66" customFormat="1" ht="10.15" customHeight="1"/>
    <row r="44" spans="1:31" s="66" customFormat="1" ht="17.100000000000001" customHeight="1">
      <c r="A44" s="66" t="str">
        <f>Asmpt!$AA$40</f>
        <v>HSA Rollover</v>
      </c>
      <c r="C44" s="94">
        <f>IF(OR(C33="HSA",C33="HRA"),IF(Asmpt!$C$184+C37=0,0,Asmpt!$C$184+C37),"NA")</f>
        <v>1000</v>
      </c>
      <c r="O44" s="103"/>
      <c r="P44" s="103"/>
      <c r="Q44" s="103"/>
    </row>
    <row r="45" spans="1:31" s="66" customFormat="1" ht="17.100000000000001" customHeight="1">
      <c r="C45" s="94"/>
      <c r="O45" s="103"/>
      <c r="P45" s="103"/>
      <c r="Q45" s="103"/>
    </row>
    <row r="46" spans="1:31" s="66" customFormat="1" ht="17.100000000000001" customHeight="1">
      <c r="A46" s="173" t="s">
        <v>153</v>
      </c>
      <c r="B46" s="173"/>
      <c r="C46" s="174"/>
      <c r="O46" s="103"/>
      <c r="P46" s="103"/>
      <c r="Q46" s="103"/>
    </row>
    <row r="47" spans="1:31" s="66" customFormat="1" ht="17.100000000000001" customHeight="1">
      <c r="A47" s="66" t="s">
        <v>154</v>
      </c>
      <c r="C47" s="97">
        <f>C40</f>
        <v>924</v>
      </c>
      <c r="O47" s="103"/>
      <c r="P47" s="103"/>
      <c r="Q47" s="103"/>
    </row>
    <row r="48" spans="1:31" s="66" customFormat="1" ht="17.100000000000001" customHeight="1">
      <c r="A48" s="66" t="s">
        <v>104</v>
      </c>
      <c r="O48" s="103"/>
      <c r="P48" s="103"/>
      <c r="Q48" s="103"/>
    </row>
    <row r="49" spans="1:34" s="66" customFormat="1" ht="17.100000000000001" customHeight="1">
      <c r="A49" s="175" t="s">
        <v>157</v>
      </c>
      <c r="C49" s="66">
        <f>INDEX('Cost Estimator'!K5:K10,'Cost Estimator'!J4)</f>
        <v>1</v>
      </c>
      <c r="O49" s="103"/>
      <c r="P49" s="103"/>
      <c r="Q49" s="103"/>
    </row>
    <row r="50" spans="1:34" s="66" customFormat="1" ht="17.100000000000001" customHeight="1">
      <c r="A50" s="175" t="s">
        <v>158</v>
      </c>
      <c r="C50" s="66">
        <f>C49*Asmpt!C50</f>
        <v>4500</v>
      </c>
      <c r="O50" s="103"/>
      <c r="P50" s="103"/>
      <c r="Q50" s="103"/>
    </row>
    <row r="51" spans="1:34" s="66" customFormat="1" ht="17.100000000000001" customHeight="1">
      <c r="A51" s="175" t="s">
        <v>159</v>
      </c>
      <c r="C51" s="66">
        <f>Asmpt!C49</f>
        <v>9000</v>
      </c>
      <c r="O51" s="103"/>
      <c r="P51" s="103"/>
      <c r="Q51" s="103"/>
    </row>
    <row r="52" spans="1:34" s="66" customFormat="1" ht="17.100000000000001" customHeight="1">
      <c r="A52" s="175" t="s">
        <v>160</v>
      </c>
      <c r="C52" s="66">
        <f>MIN(C50:C51)</f>
        <v>4500</v>
      </c>
      <c r="O52" s="103"/>
      <c r="P52" s="103"/>
      <c r="Q52" s="103"/>
    </row>
    <row r="53" spans="1:34" s="66" customFormat="1" ht="17.100000000000001" customHeight="1">
      <c r="A53" s="66" t="s">
        <v>155</v>
      </c>
      <c r="C53" s="97">
        <f>-MIN(C52,INDEX(Asmpt!$C184:$C189,E71))</f>
        <v>-1000</v>
      </c>
      <c r="O53" s="103"/>
      <c r="P53" s="103"/>
      <c r="Q53" s="103"/>
    </row>
    <row r="54" spans="1:34" s="66" customFormat="1" ht="17.100000000000001" customHeight="1">
      <c r="A54" s="66" t="s">
        <v>29</v>
      </c>
      <c r="C54" s="97">
        <f>C47+C52+C53</f>
        <v>4424</v>
      </c>
      <c r="O54" s="103"/>
      <c r="P54" s="103"/>
      <c r="Q54" s="103"/>
    </row>
    <row r="55" spans="1:34" s="66" customFormat="1" ht="17.100000000000001" customHeight="1">
      <c r="C55" s="94"/>
      <c r="O55" s="103"/>
      <c r="P55" s="103"/>
      <c r="Q55" s="103"/>
    </row>
    <row r="56" spans="1:34" s="66" customFormat="1" ht="17.100000000000001" customHeight="1">
      <c r="O56" s="103"/>
      <c r="P56" s="103"/>
      <c r="Q56" s="103"/>
    </row>
    <row r="57" spans="1:34" s="66" customFormat="1" ht="17.100000000000001" customHeight="1">
      <c r="A57" s="103" t="s">
        <v>74</v>
      </c>
      <c r="O57" s="101"/>
      <c r="P57" s="101"/>
      <c r="Q57" s="101"/>
    </row>
    <row r="58" spans="1:34" s="66" customFormat="1" ht="15.75">
      <c r="A58" s="66" t="s">
        <v>103</v>
      </c>
      <c r="M58" s="85"/>
      <c r="N58" s="85"/>
      <c r="O58" s="85"/>
      <c r="P58" s="85"/>
      <c r="Q58" s="85"/>
      <c r="R58" s="85"/>
      <c r="S58" s="85"/>
      <c r="T58" s="85"/>
      <c r="U58" s="85"/>
      <c r="V58" s="85"/>
      <c r="W58" s="85"/>
      <c r="X58" s="85"/>
      <c r="Y58" s="85"/>
      <c r="Z58" s="85"/>
      <c r="AA58" s="85"/>
      <c r="AB58" s="85"/>
      <c r="AC58" s="85"/>
      <c r="AD58" s="85"/>
      <c r="AE58" s="85"/>
      <c r="AF58" s="85"/>
      <c r="AG58" s="85"/>
      <c r="AH58" s="85"/>
    </row>
    <row r="59" spans="1:34" s="66" customFormat="1" ht="15.75">
      <c r="A59" s="66" t="str">
        <f>C33&amp;" = "&amp;Asmpt!$C$40</f>
        <v>HSA = HSP Plan</v>
      </c>
      <c r="M59" s="85"/>
      <c r="N59" s="85"/>
      <c r="O59" s="85"/>
      <c r="P59" s="85"/>
      <c r="Q59" s="85"/>
      <c r="R59" s="85"/>
      <c r="S59" s="85"/>
      <c r="T59" s="85"/>
      <c r="U59" s="85"/>
      <c r="V59" s="85"/>
      <c r="W59" s="85"/>
      <c r="X59" s="85"/>
      <c r="Y59" s="85"/>
      <c r="Z59" s="85"/>
      <c r="AA59" s="85"/>
      <c r="AB59" s="85"/>
      <c r="AC59" s="85"/>
      <c r="AD59" s="85"/>
      <c r="AE59" s="85"/>
      <c r="AF59" s="85"/>
      <c r="AG59" s="85"/>
      <c r="AH59" s="85"/>
    </row>
    <row r="60" spans="1:34" s="106" customFormat="1" ht="15.75"/>
    <row r="61" spans="1:34" s="106" customFormat="1" ht="15.75"/>
    <row r="62" spans="1:34" s="106" customFormat="1" ht="15.75">
      <c r="B62" s="107" t="s">
        <v>107</v>
      </c>
      <c r="C62" s="108"/>
      <c r="D62" s="108"/>
      <c r="E62" s="108"/>
      <c r="F62" s="108"/>
      <c r="G62" s="108"/>
      <c r="H62" s="108"/>
      <c r="I62" s="108"/>
      <c r="J62" s="108"/>
      <c r="K62" s="108"/>
      <c r="L62" s="109"/>
    </row>
    <row r="63" spans="1:34" s="106" customFormat="1" ht="15.75">
      <c r="B63" s="110" t="s">
        <v>2</v>
      </c>
      <c r="C63" s="111"/>
      <c r="D63" s="111"/>
      <c r="E63" s="112">
        <v>1</v>
      </c>
      <c r="F63" s="112"/>
      <c r="G63" s="112"/>
      <c r="H63" s="112">
        <v>0</v>
      </c>
      <c r="I63" s="112"/>
      <c r="J63" s="112"/>
      <c r="K63" s="112">
        <v>0</v>
      </c>
      <c r="L63" s="113"/>
    </row>
    <row r="64" spans="1:34" s="106" customFormat="1" ht="15.75">
      <c r="B64" s="110" t="s">
        <v>31</v>
      </c>
      <c r="C64" s="111"/>
      <c r="D64" s="111"/>
      <c r="E64" s="112">
        <v>0.85</v>
      </c>
      <c r="F64" s="112"/>
      <c r="G64" s="112"/>
      <c r="H64" s="112">
        <v>0.15</v>
      </c>
      <c r="I64" s="112"/>
      <c r="J64" s="112"/>
      <c r="K64" s="112">
        <v>0</v>
      </c>
      <c r="L64" s="113"/>
    </row>
    <row r="65" spans="2:12" s="106" customFormat="1" ht="15.75">
      <c r="B65" s="110" t="s">
        <v>26</v>
      </c>
      <c r="C65" s="111"/>
      <c r="D65" s="111"/>
      <c r="E65" s="112">
        <v>0.85</v>
      </c>
      <c r="F65" s="112"/>
      <c r="G65" s="112"/>
      <c r="H65" s="112">
        <v>0.15</v>
      </c>
      <c r="I65" s="112"/>
      <c r="J65" s="112"/>
      <c r="K65" s="112">
        <v>0</v>
      </c>
      <c r="L65" s="113"/>
    </row>
    <row r="66" spans="2:12" s="106" customFormat="1" ht="15.75">
      <c r="B66" s="110" t="s">
        <v>19</v>
      </c>
      <c r="C66" s="111"/>
      <c r="D66" s="111"/>
      <c r="E66" s="112">
        <v>0.65</v>
      </c>
      <c r="F66" s="112"/>
      <c r="G66" s="112"/>
      <c r="H66" s="112">
        <v>0.25</v>
      </c>
      <c r="I66" s="112"/>
      <c r="J66" s="112"/>
      <c r="K66" s="112">
        <v>0.1</v>
      </c>
      <c r="L66" s="113"/>
    </row>
    <row r="67" spans="2:12" s="106" customFormat="1" ht="15.75">
      <c r="B67" s="110" t="s">
        <v>24</v>
      </c>
      <c r="C67" s="111"/>
      <c r="D67" s="111"/>
      <c r="E67" s="112">
        <v>0.65</v>
      </c>
      <c r="F67" s="112"/>
      <c r="G67" s="112"/>
      <c r="H67" s="112">
        <v>0.25</v>
      </c>
      <c r="I67" s="112"/>
      <c r="J67" s="112"/>
      <c r="K67" s="112">
        <v>0.1</v>
      </c>
      <c r="L67" s="113"/>
    </row>
    <row r="68" spans="2:12" s="106" customFormat="1" ht="15.75">
      <c r="B68" s="110" t="s">
        <v>23</v>
      </c>
      <c r="C68" s="111"/>
      <c r="D68" s="111"/>
      <c r="E68" s="112">
        <v>0.65</v>
      </c>
      <c r="F68" s="112"/>
      <c r="G68" s="112"/>
      <c r="H68" s="112">
        <v>0.25</v>
      </c>
      <c r="I68" s="112"/>
      <c r="J68" s="112"/>
      <c r="K68" s="112">
        <v>0.1</v>
      </c>
      <c r="L68" s="113"/>
    </row>
    <row r="69" spans="2:12">
      <c r="B69" s="114"/>
      <c r="C69" s="115"/>
      <c r="D69" s="115"/>
      <c r="E69" s="115"/>
      <c r="F69" s="115"/>
      <c r="G69" s="115"/>
      <c r="H69" s="115"/>
      <c r="I69" s="115"/>
      <c r="J69" s="115"/>
      <c r="K69" s="115"/>
      <c r="L69" s="116"/>
    </row>
    <row r="70" spans="2:12">
      <c r="B70" s="114"/>
      <c r="C70" s="115"/>
      <c r="D70" s="115"/>
      <c r="E70" s="115"/>
      <c r="F70" s="115"/>
      <c r="G70" s="115"/>
      <c r="H70" s="115"/>
      <c r="I70" s="115"/>
      <c r="J70" s="115"/>
      <c r="K70" s="115"/>
      <c r="L70" s="116"/>
    </row>
    <row r="71" spans="2:12">
      <c r="B71" s="114" t="s">
        <v>108</v>
      </c>
      <c r="C71" s="115"/>
      <c r="D71" s="115"/>
      <c r="E71" s="115">
        <f>MATCH(1,'Cost Estimator'!$J$5:$J$10,0)</f>
        <v>1</v>
      </c>
      <c r="F71" s="115"/>
      <c r="G71" s="115"/>
      <c r="H71" s="115"/>
      <c r="I71" s="115"/>
      <c r="J71" s="115"/>
      <c r="K71" s="115"/>
      <c r="L71" s="116"/>
    </row>
    <row r="72" spans="2:12">
      <c r="B72" s="117" t="str">
        <f>INDEX(B63:B68,MATCH(1,'Cost Estimator'!$J$5:$J$10,0),1)</f>
        <v>Employee Only</v>
      </c>
      <c r="C72" s="118"/>
      <c r="D72" s="118"/>
      <c r="E72" s="119">
        <f>INDEX(E63:E68,MATCH(1,'Cost Estimator'!$J$5:$J$10,0),1)</f>
        <v>1</v>
      </c>
      <c r="F72" s="119"/>
      <c r="G72" s="119"/>
      <c r="H72" s="119">
        <f>INDEX(H63:H68,MATCH(1,'Cost Estimator'!$J$5:$J$10,0),1)</f>
        <v>0</v>
      </c>
      <c r="I72" s="119"/>
      <c r="J72" s="119"/>
      <c r="K72" s="119">
        <f>INDEX(K63:K68,MATCH(1,'Cost Estimator'!$J$5:$J$10,0),1)</f>
        <v>0</v>
      </c>
      <c r="L72" s="120"/>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72"/>
  <sheetViews>
    <sheetView showGridLines="0" zoomScale="70" zoomScaleNormal="70" zoomScaleSheetLayoutView="86" workbookViewId="0">
      <selection activeCell="C29" sqref="C2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5" customWidth="1" outlineLevel="1"/>
    <col min="15" max="20" width="11" customWidth="1" outlineLevel="1"/>
    <col min="21" max="21" width="2.5703125" customWidth="1" outlineLevel="1"/>
    <col min="22" max="31" width="11" customWidth="1" outlineLevel="1"/>
    <col min="32" max="32" width="9.140625" customWidth="1"/>
  </cols>
  <sheetData>
    <row r="1" spans="1:33" s="37" customFormat="1" ht="26.25">
      <c r="A1" s="56" t="str">
        <f>Asmpt!$B5&amp;" Medical Plans"</f>
        <v>Green Diamond Resource Company Medical Plans</v>
      </c>
      <c r="B1" s="56"/>
      <c r="C1" s="57"/>
      <c r="D1" s="58"/>
      <c r="E1" s="56"/>
      <c r="F1" s="56"/>
      <c r="G1" s="56"/>
      <c r="H1" s="56"/>
      <c r="I1" s="56"/>
      <c r="J1" s="56"/>
      <c r="K1" s="56"/>
      <c r="L1" s="56"/>
      <c r="M1" s="56"/>
      <c r="N1" s="56" t="str">
        <f>Asmpt!$B5&amp;" Medical Plans"</f>
        <v>Green Diamond Resource Company Medical Plans</v>
      </c>
      <c r="O1" s="56"/>
      <c r="P1" s="56"/>
      <c r="Q1" s="56"/>
      <c r="R1" s="56"/>
      <c r="S1" s="56"/>
      <c r="T1" s="56"/>
      <c r="U1" s="56"/>
      <c r="V1" s="56"/>
      <c r="W1" s="56"/>
      <c r="X1" s="56"/>
      <c r="Y1" s="56"/>
      <c r="Z1" s="56"/>
      <c r="AA1" s="56"/>
      <c r="AB1" s="56"/>
      <c r="AC1" s="56"/>
      <c r="AD1" s="56"/>
      <c r="AE1" s="59"/>
    </row>
    <row r="2" spans="1:33" s="37" customFormat="1" ht="21">
      <c r="A2" s="60" t="str">
        <f>"Detailed Out-of-Pocket Cost Examples for "&amp;Asmpt!D40</f>
        <v>Detailed Out-of-Pocket Cost Examples for NA</v>
      </c>
      <c r="B2" s="60"/>
      <c r="C2" s="44"/>
      <c r="D2" s="44"/>
      <c r="E2" s="60"/>
      <c r="F2" s="44"/>
      <c r="G2" s="44"/>
      <c r="H2" s="44"/>
      <c r="I2" s="44"/>
      <c r="J2" s="44"/>
      <c r="K2" s="44"/>
      <c r="L2" s="44"/>
      <c r="M2" s="44"/>
      <c r="N2" s="60" t="str">
        <f>$A2</f>
        <v>Detailed Out-of-Pocket Cost Examples for NA</v>
      </c>
      <c r="Q2" s="60"/>
    </row>
    <row r="3" spans="1:33" s="44" customFormat="1" ht="21">
      <c r="A3" s="60"/>
      <c r="B3" s="60"/>
    </row>
    <row r="4" spans="1:33" s="64" customFormat="1" ht="20.100000000000001" customHeight="1">
      <c r="A4" s="62"/>
      <c r="B4" s="62"/>
      <c r="C4" s="63"/>
      <c r="E4" s="61" t="s">
        <v>76</v>
      </c>
      <c r="F4" s="62"/>
      <c r="G4" s="62"/>
      <c r="H4" s="62"/>
      <c r="I4" s="62"/>
      <c r="J4" s="62"/>
      <c r="K4" s="62"/>
      <c r="L4" s="62"/>
      <c r="N4" s="65"/>
      <c r="O4" s="68" t="str">
        <f>Asmpt!$D$43&amp;" — "&amp;A6</f>
        <v>HSA — Employee Only</v>
      </c>
      <c r="P4" s="68"/>
      <c r="Q4" s="68"/>
      <c r="R4" s="68"/>
      <c r="S4" s="68"/>
      <c r="T4" s="68"/>
      <c r="U4" s="68"/>
      <c r="V4" s="68"/>
      <c r="W4" s="68"/>
      <c r="X4" s="68"/>
      <c r="Y4" s="68"/>
      <c r="Z4" s="68"/>
      <c r="AA4" s="68"/>
      <c r="AB4" s="68"/>
      <c r="AC4" s="68"/>
      <c r="AD4" s="68"/>
      <c r="AE4" s="68"/>
      <c r="AF4" s="65"/>
    </row>
    <row r="5" spans="1:33" s="66" customFormat="1" ht="10.15" customHeight="1">
      <c r="E5" s="67"/>
    </row>
    <row r="6" spans="1:33" s="71" customFormat="1" ht="20.25" customHeight="1">
      <c r="A6" s="70" t="str">
        <f>B72</f>
        <v>Employee Only</v>
      </c>
      <c r="B6" s="70"/>
      <c r="C6" s="70"/>
      <c r="D6" s="69"/>
      <c r="E6" s="70" t="s">
        <v>77</v>
      </c>
      <c r="F6" s="70"/>
      <c r="G6" s="69"/>
      <c r="H6" s="70" t="s">
        <v>78</v>
      </c>
      <c r="I6" s="70"/>
      <c r="J6" s="69"/>
      <c r="K6" s="70" t="s">
        <v>79</v>
      </c>
      <c r="L6" s="70"/>
      <c r="M6" s="69"/>
      <c r="N6" s="69"/>
      <c r="V6" s="121" t="s">
        <v>77</v>
      </c>
      <c r="W6" s="122"/>
      <c r="X6" s="123"/>
      <c r="Y6" s="121" t="s">
        <v>78</v>
      </c>
      <c r="Z6" s="122"/>
      <c r="AA6" s="123"/>
      <c r="AB6" s="121" t="s">
        <v>79</v>
      </c>
      <c r="AC6" s="122"/>
      <c r="AD6" s="123"/>
    </row>
    <row r="7" spans="1:33" s="75" customFormat="1" ht="10.15" customHeight="1">
      <c r="A7" s="72"/>
      <c r="B7" s="72"/>
      <c r="C7" s="72"/>
      <c r="D7" s="66"/>
      <c r="E7" s="66"/>
      <c r="F7" s="66"/>
      <c r="G7" s="66"/>
      <c r="H7" s="66"/>
      <c r="I7" s="66"/>
      <c r="J7" s="66"/>
      <c r="K7" s="66"/>
      <c r="L7" s="66"/>
      <c r="M7" s="66"/>
      <c r="N7" s="66"/>
      <c r="O7" s="66"/>
      <c r="P7" s="66"/>
      <c r="Q7" s="66"/>
      <c r="R7" s="66"/>
      <c r="S7" s="66"/>
      <c r="T7" s="66"/>
      <c r="U7" s="66"/>
      <c r="V7" s="73"/>
      <c r="W7" s="73"/>
      <c r="X7" s="73"/>
      <c r="Y7" s="73"/>
      <c r="Z7" s="73"/>
      <c r="AA7" s="73"/>
      <c r="AB7" s="73"/>
      <c r="AC7" s="73"/>
      <c r="AD7" s="73"/>
      <c r="AE7" s="74"/>
    </row>
    <row r="8" spans="1:33" s="75" customFormat="1" ht="17.100000000000001" customHeight="1">
      <c r="A8" s="76" t="s">
        <v>80</v>
      </c>
      <c r="B8" s="77" t="s">
        <v>81</v>
      </c>
      <c r="C8" s="78" t="s">
        <v>82</v>
      </c>
      <c r="D8" s="66"/>
      <c r="E8" s="77" t="s">
        <v>81</v>
      </c>
      <c r="F8" s="77" t="s">
        <v>83</v>
      </c>
      <c r="G8" s="79"/>
      <c r="H8" s="77" t="s">
        <v>81</v>
      </c>
      <c r="I8" s="77" t="s">
        <v>83</v>
      </c>
      <c r="J8" s="79"/>
      <c r="K8" s="77" t="s">
        <v>81</v>
      </c>
      <c r="L8" s="77" t="s">
        <v>83</v>
      </c>
      <c r="M8" s="66"/>
      <c r="N8" s="76" t="s">
        <v>106</v>
      </c>
      <c r="O8" s="77" t="s">
        <v>65</v>
      </c>
      <c r="P8" s="77" t="s">
        <v>84</v>
      </c>
      <c r="Q8" s="80" t="s">
        <v>91</v>
      </c>
      <c r="R8" s="81" t="s">
        <v>85</v>
      </c>
      <c r="S8" s="81" t="s">
        <v>86</v>
      </c>
      <c r="T8" s="81" t="s">
        <v>92</v>
      </c>
      <c r="U8" s="82"/>
      <c r="V8" s="83" t="s">
        <v>87</v>
      </c>
      <c r="W8" s="83" t="s">
        <v>88</v>
      </c>
      <c r="X8" s="83" t="s">
        <v>89</v>
      </c>
      <c r="Y8" s="82" t="s">
        <v>87</v>
      </c>
      <c r="Z8" s="82" t="s">
        <v>88</v>
      </c>
      <c r="AA8" s="82" t="s">
        <v>89</v>
      </c>
      <c r="AB8" s="83" t="s">
        <v>87</v>
      </c>
      <c r="AC8" s="83" t="s">
        <v>88</v>
      </c>
      <c r="AD8" s="83" t="s">
        <v>89</v>
      </c>
      <c r="AE8" s="84" t="s">
        <v>90</v>
      </c>
      <c r="AG8"/>
    </row>
    <row r="9" spans="1:33" s="85" customFormat="1" ht="17.100000000000001" customHeight="1">
      <c r="T9" s="86">
        <v>0</v>
      </c>
      <c r="U9" s="87"/>
      <c r="V9" s="88">
        <v>0</v>
      </c>
      <c r="W9" s="88">
        <v>0</v>
      </c>
      <c r="X9" s="88">
        <v>0</v>
      </c>
      <c r="Y9" s="88">
        <v>0</v>
      </c>
      <c r="Z9" s="88">
        <v>0</v>
      </c>
      <c r="AA9" s="88">
        <v>0</v>
      </c>
      <c r="AB9" s="88">
        <v>0</v>
      </c>
      <c r="AC9" s="88">
        <v>0</v>
      </c>
      <c r="AD9" s="87">
        <v>0</v>
      </c>
      <c r="AE9" s="87"/>
    </row>
    <row r="10" spans="1:33" s="66" customFormat="1" ht="17.100000000000001" customHeight="1">
      <c r="A10" s="92" t="s">
        <v>43</v>
      </c>
      <c r="B10" s="90">
        <v>0</v>
      </c>
      <c r="C10" s="91">
        <f>B10*Asmpt!$B$18</f>
        <v>0</v>
      </c>
      <c r="E10" s="90">
        <f>ROUND(E$72*B10,0)</f>
        <v>0</v>
      </c>
      <c r="F10" s="91">
        <f t="shared" ref="F10:F29" si="0">IF($B10=0,0,$C10/$B10*E10)</f>
        <v>0</v>
      </c>
      <c r="G10" s="92"/>
      <c r="H10" s="90">
        <f>IF(E$71&lt;4,B10-E10,ROUND(H$72*B10,0))</f>
        <v>0</v>
      </c>
      <c r="I10" s="91">
        <f t="shared" ref="I10:I29" si="1">IF($B10=0,0,$C10/$B10*H10)</f>
        <v>0</v>
      </c>
      <c r="J10" s="92"/>
      <c r="K10" s="93">
        <f t="shared" ref="K10:K29" si="2">B10-E10-H10</f>
        <v>0</v>
      </c>
      <c r="L10" s="91">
        <f t="shared" ref="L10:L29" si="3">IF($B10=0,0,$C10/$B10*K10)</f>
        <v>0</v>
      </c>
      <c r="N10" s="66" t="str">
        <f t="shared" ref="N10:N29" si="4">A10</f>
        <v>Office Visits - Preventive</v>
      </c>
      <c r="O10" s="94">
        <f>Asmpt!$D$58</f>
        <v>0</v>
      </c>
      <c r="P10" s="95">
        <f>Asmpt!$D$59</f>
        <v>0</v>
      </c>
      <c r="Q10" s="94">
        <f>Asmpt!$D$60</f>
        <v>0</v>
      </c>
      <c r="R10" s="95">
        <f>Asmpt!$D$61</f>
        <v>0</v>
      </c>
      <c r="S10" s="96">
        <f>IF(Asmpt!$D$62=0,0,Asmpt!$D$46)</f>
        <v>0</v>
      </c>
      <c r="T10" s="89">
        <f>Asmpt!$D$51</f>
        <v>1</v>
      </c>
      <c r="U10" s="93"/>
      <c r="V10" s="97">
        <f>IF(E10=0,0,
MIN(
$O10*MAX(E10-CEILING($Q10+$P10*MIN($O$32-SUM(W$9:W9),$P$32-SUM(W$9:W9,$U$35:U$35))/(F10/E10),1),0),
MAX(0,$O$33-SUMPRODUCT($T$9:$T9,V$9:V9)-SUM(W$9:X9)),
MAX(0,$P$33-SUM($U$33:U$33)-SUMPRODUCT($T$9:$T9,V$9:V9)-SUM(W$9:X9))
)
)</f>
        <v>0</v>
      </c>
      <c r="W10" s="97">
        <f>MIN(
$R10*MAX(F10-V10-MIN(F10,$Q10),0),
MAX(0,$O$32-SUM(W$9:W9)),
MAX(0,$P$32-SUM($U$35:U$35)-SUM(W$9:W9)),
MAX(0,$O$33-SUMPRODUCT($T$9:$T10,V$9:V10)-SUM(W$9:X9)),
MAX(0,$P$33-SUM($U$33:U$33)-SUMPRODUCT($T$9:$T10,V$9:V10)-SUM(W$9:X9))
)</f>
        <v>0</v>
      </c>
      <c r="X10" s="97">
        <f>MIN(
$S10*MAX(F10-$Q10-V10-W10,0),
MAX(0,$O$33-SUMPRODUCT($T$9:$T10,V$9:V10)-SUM(W$9:W10)-SUM(X$9:X9)),
MAX(0,$P$33-SUM($U$33:U$33)-SUMPRODUCT($T$9:$T10,V$9:V10)-SUM(W$9:W10)-SUM(X$9:X9))
)</f>
        <v>0</v>
      </c>
      <c r="Y10" s="97">
        <f>IF(H10=0,0,
MIN(
$O10*MAX(H10-CEILING($Q10+$P10*MIN($O$32-SUM(Z$9:Z9),$P$32-SUM(Z$9:Z9,$U$35:X$35))/(I10/H10),1),0),
MAX(0,$O$33-SUMPRODUCT($T$9:$T9,Y$9:Y9)-SUM(Z$9:AA9)),
MAX(0,$P$33-SUM($U$33:X$33)-SUMPRODUCT($T$9:$T9,Y$9:Y9)-SUM(Z$9:AA9))
)
)</f>
        <v>0</v>
      </c>
      <c r="Z10" s="97">
        <f>MIN(
$R10*MAX(I10-Y10-MIN(I10,$Q10),0),
MAX(0,$O$32-SUM(Z$9:Z9)),
MAX(0,$P$32-SUM($U$35:X$35)-SUM(Z$9:Z9)),
MAX(0,$O$33-SUMPRODUCT($T$9:$T10,Y$9:Y10)-SUM(Z$9:AA9)),
MAX(0,$P$33-SUM($U$33:X$33)-SUMPRODUCT($T$9:$T10,Y$9:Y10)-SUM(Z$9:AA9))
)</f>
        <v>0</v>
      </c>
      <c r="AA10" s="97">
        <f>MIN(
$S10*MAX(I10-$Q10-Y10-Z10,0),
MAX(0,$O$33-SUMPRODUCT($T$9:$T10,Y$9:Y10)-SUM(Z$9:Z10)-SUM(AA$9:AA9)),
MAX(0,$P$33-SUM($U$33:X$33)-SUMPRODUCT($T$9:$T10,Y$9:Y10)-SUM(Z$9:Z10)-SUM(AA$9:AA9))
)</f>
        <v>0</v>
      </c>
      <c r="AB10" s="97">
        <f>IF(K10=0,0,
MIN(
$O10*MAX(K10-CEILING($Q10+$P10*MIN($O$32-SUM(AC$9:AC9),$P$32-SUM(AC$9:AC9,$U$35:AA$35))/(L10/K10),1),0),
MAX(0,$O$33-SUMPRODUCT($T$9:$T9,AB$9:AB9)-SUM(AC$9:AD9)),
MAX(0,$P$33-SUM($U$33:AA$33)-SUMPRODUCT($T$9:$T9,AB$9:AB9)-SUM(AC$9:AD9))
)
)</f>
        <v>0</v>
      </c>
      <c r="AC10" s="97">
        <f>MIN(
$R10*MAX(L10-AB10-MIN(L10,$Q10),0),
MAX(0,$O$32-SUM(AC$9:AC9)),
MAX(0,$P$32-SUM($U$35:AA$35)-SUM(AC$9:AC9)),
MAX(0,$O$33-SUMPRODUCT($T$9:$T10,AB$9:AB10)-SUM(AC$9:AD9)),
MAX(0,$P$33-SUM($U$33:AA$33)-SUMPRODUCT($T$9:$T10,AB$9:AB10)-SUM(AC$9:AD9))
)</f>
        <v>0</v>
      </c>
      <c r="AD10" s="97">
        <f>MIN(
$S10*MAX(L10-$Q10-AB10-AC10,0),
MAX(0,$O$33-SUMPRODUCT($T$9:$T10,AB$9:AB10)-SUM(AC$9:AC10)-SUM(AD$9:AD9)),
MAX(0,$P$33-SUM($U$33:AA$33)-SUMPRODUCT($T$9:$T10,AB$9:AB10)-SUM(AC$9:AC10)-SUM(AD$9:AD9))
)</f>
        <v>0</v>
      </c>
      <c r="AE10" s="97">
        <f>C10-SUM(V10:AD10)</f>
        <v>0</v>
      </c>
    </row>
    <row r="11" spans="1:33" s="66" customFormat="1" ht="17.100000000000001" customHeight="1">
      <c r="A11" s="92" t="s">
        <v>110</v>
      </c>
      <c r="B11" s="90">
        <f>'Cost Estimator'!D16</f>
        <v>0</v>
      </c>
      <c r="C11" s="91">
        <f>B11*Asmpt!$B19</f>
        <v>0</v>
      </c>
      <c r="E11" s="90">
        <f>ROUND(E$72*B11,0)</f>
        <v>0</v>
      </c>
      <c r="F11" s="91">
        <f t="shared" si="0"/>
        <v>0</v>
      </c>
      <c r="G11" s="92"/>
      <c r="H11" s="90">
        <f>IF(E$71&lt;4,B11-E11,ROUND(H$72*B11,0))</f>
        <v>0</v>
      </c>
      <c r="I11" s="91">
        <f t="shared" si="1"/>
        <v>0</v>
      </c>
      <c r="J11" s="92"/>
      <c r="K11" s="93">
        <f t="shared" si="2"/>
        <v>0</v>
      </c>
      <c r="L11" s="91">
        <f t="shared" si="3"/>
        <v>0</v>
      </c>
      <c r="N11" s="66" t="str">
        <f t="shared" si="4"/>
        <v>Primary Care Office Visits</v>
      </c>
      <c r="O11" s="94">
        <f>Asmpt!$D$64</f>
        <v>0</v>
      </c>
      <c r="P11" s="95">
        <f>Asmpt!$D$65</f>
        <v>0</v>
      </c>
      <c r="Q11" s="94">
        <f>Asmpt!$D$66</f>
        <v>0</v>
      </c>
      <c r="R11" s="95">
        <f>Asmpt!$D$67</f>
        <v>1</v>
      </c>
      <c r="S11" s="96">
        <f>IF(Asmpt!$D$68=0,0,Asmpt!$D$46)</f>
        <v>0.2</v>
      </c>
      <c r="T11" s="89">
        <f>Asmpt!$D$51</f>
        <v>1</v>
      </c>
      <c r="U11" s="93"/>
      <c r="V11" s="97">
        <f>IF(E11=0,0,
MIN(
$O11*MAX(E11-CEILING($Q11+$P11*MIN($O$32-SUM(W$9:W10),$P$32-SUM(W$9:W10,$U$35:U$35))/(F11/E11),1),0),
MAX(0,$O$33-SUMPRODUCT($T$9:$T10,V$9:V10)-SUM(W$9:X10)),
MAX(0,$P$33-SUM($U$33:U$33)-SUMPRODUCT($T$9:$T10,V$9:V10)-SUM(W$9:X10))
)
)</f>
        <v>0</v>
      </c>
      <c r="W11" s="97">
        <f>MIN(
$R11*MAX(F11-V11-MIN(F11,$Q11),0),
MAX(0,$O$32-SUM(W$9:W10)),
MAX(0,$P$32-SUM($U$35:U$35)-SUM(W$9:W10)),
MAX(0,$O$33-SUMPRODUCT($T$9:$T11,V$9:V11)-SUM(W$9:X10)),
MAX(0,$P$33-SUM($U$33:U$33)-SUMPRODUCT($T$9:$T11,V$9:V11)-SUM(W$9:X10))
)</f>
        <v>0</v>
      </c>
      <c r="X11" s="97">
        <f>MIN(
$S11*MAX(F11-$Q11-V11-W11,0),
MAX(0,$O$33-SUMPRODUCT($T$9:$T11,V$9:V11)-SUM(W$9:W11)-SUM(X$9:X10)),
MAX(0,$P$33-SUM($U$33:U$33)-SUMPRODUCT($T$9:$T11,V$9:V11)-SUM(W$9:W11)-SUM(X$9:X10))
)</f>
        <v>0</v>
      </c>
      <c r="Y11" s="97">
        <f>IF(H11=0,0,
MIN(
$O11*MAX(H11-CEILING($Q11+$P11*MIN($O$32-SUM(Z$9:Z10),$P$32-SUM(Z$9:Z10,$U$35:X$35))/(I11/H11),1),0),
MAX(0,$O$33-SUMPRODUCT($T$9:$T10,Y$9:Y10)-SUM(Z$9:AA10)),
MAX(0,$P$33-SUM($U$33:X$33)-SUMPRODUCT($T$9:$T10,Y$9:Y10)-SUM(Z$9:AA10))
)
)</f>
        <v>0</v>
      </c>
      <c r="Z11" s="97">
        <f>MIN(
$R11*MAX(I11-Y11-MIN(I11,$Q11),0),
MAX(0,$O$32-SUM(Z$9:Z10)),
MAX(0,$P$32-SUM($U$35:X$35)-SUM(Z$9:Z10)),
MAX(0,$O$33-SUMPRODUCT($T$9:$T11,Y$9:Y11)-SUM(Z$9:AA10)),
MAX(0,$P$33-SUM($U$33:X$33)-SUMPRODUCT($T$9:$T11,Y$9:Y11)-SUM(Z$9:AA10))
)</f>
        <v>0</v>
      </c>
      <c r="AA11" s="97">
        <f>MIN(
$S11*MAX(I11-$Q11-Y11-Z11,0),
MAX(0,$O$33-SUMPRODUCT($T$9:$T11,Y$9:Y11)-SUM(Z$9:Z11)-SUM(AA$9:AA10)),
MAX(0,$P$33-SUM($U$33:X$33)-SUMPRODUCT($T$9:$T11,Y$9:Y11)-SUM(Z$9:Z11)-SUM(AA$9:AA10))
)</f>
        <v>0</v>
      </c>
      <c r="AB11" s="97">
        <f>IF(K11=0,0,
MIN(
$O11*MAX(K11-CEILING($Q11+$P11*MIN($O$32-SUM(AC$9:AC10),$P$32-SUM(AC$9:AC10,$U$35:AA$35))/(L11/K11),1),0),
MAX(0,$O$33-SUMPRODUCT($T$9:$T10,AB$9:AB10)-SUM(AC$9:AD10)),
MAX(0,$P$33-SUM($U$33:AA$33)-SUMPRODUCT($T$9:$T10,AB$9:AB10)-SUM(AC$9:AD10))
)
)</f>
        <v>0</v>
      </c>
      <c r="AC11" s="97">
        <f>MIN(
$R11*MAX(L11-AB11-MIN(L11,$Q11),0),
MAX(0,$O$32-SUM(AC$9:AC10)),
MAX(0,$P$32-SUM($U$35:AA$35)-SUM(AC$9:AC10)),
MAX(0,$O$33-SUMPRODUCT($T$9:$T11,AB$9:AB11)-SUM(AC$9:AD10)),
MAX(0,$P$33-SUM($U$33:AA$33)-SUMPRODUCT($T$9:$T11,AB$9:AB11)-SUM(AC$9:AD10))
)</f>
        <v>0</v>
      </c>
      <c r="AD11" s="97">
        <f>MIN(
$S11*MAX(L11-$Q11-AB11-AC11,0),
MAX(0,$O$33-SUMPRODUCT($T$9:$T11,AB$9:AB11)-SUM(AC$9:AC11)-SUM(AD$9:AD10)),
MAX(0,$P$33-SUM($U$33:AA$33)-SUMPRODUCT($T$9:$T11,AB$9:AB11)-SUM(AC$9:AC11)-SUM(AD$9:AD10))
)</f>
        <v>0</v>
      </c>
      <c r="AE11" s="97">
        <f>C11-SUM(V11:AD11)</f>
        <v>0</v>
      </c>
    </row>
    <row r="12" spans="1:33" s="66" customFormat="1" ht="17.100000000000001" customHeight="1">
      <c r="A12" s="92" t="s">
        <v>234</v>
      </c>
      <c r="B12" s="90">
        <f>'Cost Estimator'!E16</f>
        <v>0</v>
      </c>
      <c r="C12" s="91">
        <f>B12*Asmpt!$B20</f>
        <v>0</v>
      </c>
      <c r="E12" s="90">
        <f>ROUND(E$72*B12,0)</f>
        <v>0</v>
      </c>
      <c r="F12" s="91">
        <f t="shared" ref="F12" si="5">IF($B12=0,0,$C12/$B12*E12)</f>
        <v>0</v>
      </c>
      <c r="G12" s="92"/>
      <c r="H12" s="90">
        <f>IF(E$71&lt;4,B12-E12,ROUND(H$72*B12,0))</f>
        <v>0</v>
      </c>
      <c r="I12" s="91">
        <f t="shared" ref="I12" si="6">IF($B12=0,0,$C12/$B12*H12)</f>
        <v>0</v>
      </c>
      <c r="J12" s="92"/>
      <c r="K12" s="93">
        <f t="shared" ref="K12" si="7">B12-E12-H12</f>
        <v>0</v>
      </c>
      <c r="L12" s="91">
        <f t="shared" ref="L12" si="8">IF($B12=0,0,$C12/$B12*K12)</f>
        <v>0</v>
      </c>
      <c r="N12" s="66" t="str">
        <f t="shared" ref="N12" si="9">A12</f>
        <v>Physical or Occupational Therapy/Massage</v>
      </c>
      <c r="O12" s="94">
        <f>Asmpt!$D$70</f>
        <v>0</v>
      </c>
      <c r="P12" s="95">
        <f>Asmpt!$D$71</f>
        <v>0</v>
      </c>
      <c r="Q12" s="94">
        <f>Asmpt!$D$72</f>
        <v>0</v>
      </c>
      <c r="R12" s="95">
        <f>Asmpt!$D$73</f>
        <v>1</v>
      </c>
      <c r="S12" s="96">
        <f>IF(Asmpt!$D$74=0,0,Asmpt!$D$46)</f>
        <v>0.2</v>
      </c>
      <c r="T12" s="89">
        <f>Asmpt!$D$51</f>
        <v>1</v>
      </c>
      <c r="U12" s="93"/>
      <c r="V12" s="97">
        <f>IF(E12=0,0,
MIN(
$O12*MAX(E12-CEILING($Q12+$P12*MIN($O$32-SUM(W$9:W11),$P$32-SUM(W$9:W11,$U$35:U$35))/(F12/E12),1),0),
MAX(0,$O$33-SUMPRODUCT($T$9:$T11,V$9:V11)-SUM(W$9:X11)),
MAX(0,$P$33-SUM($U$33:U$33)-SUMPRODUCT($T$9:$T11,V$9:V11)-SUM(W$9:X11))
)
)</f>
        <v>0</v>
      </c>
      <c r="W12" s="97">
        <f>MIN(
$R12*MAX(F12-V12-MIN(F12,$Q12),0),
MAX(0,$O$32-SUM(W$9:W11)),
MAX(0,$P$32-SUM($U$35:U$35)-SUM(W$9:W11)),
MAX(0,$O$33-SUMPRODUCT($T$9:$T12,V$9:V12)-SUM(W$9:X11)),
MAX(0,$P$33-SUM($U$33:U$33)-SUMPRODUCT($T$9:$T12,V$9:V12)-SUM(W$9:X11))
)</f>
        <v>0</v>
      </c>
      <c r="X12" s="97">
        <f>MIN(
$S12*MAX(F12-$Q12-V12-W12,0),
MAX(0,$O$33-SUMPRODUCT($T$9:$T12,V$9:V12)-SUM(W$9:W12)-SUM(X$9:X11)),
MAX(0,$P$33-SUM($U$33:U$33)-SUMPRODUCT($T$9:$T12,V$9:V12)-SUM(W$9:W12)-SUM(X$9:X11))
)</f>
        <v>0</v>
      </c>
      <c r="Y12" s="97">
        <f>IF(H12=0,0,
MIN(
$O12*MAX(H12-CEILING($Q12+$P12*MIN($O$32-SUM(Z$9:Z11),$P$32-SUM(Z$9:Z11,$U$35:X$35))/(I12/H12),1),0),
MAX(0,$O$33-SUMPRODUCT($T$9:$T11,Y$9:Y11)-SUM(Z$9:AA11)),
MAX(0,$P$33-SUM($U$33:X$33)-SUMPRODUCT($T$9:$T11,Y$9:Y11)-SUM(Z$9:AA11))
)
)</f>
        <v>0</v>
      </c>
      <c r="Z12" s="97">
        <f>MIN(
$R12*MAX(I12-Y12-MIN(I12,$Q12),0),
MAX(0,$O$32-SUM(Z$9:Z11)),
MAX(0,$P$32-SUM($U$35:X$35)-SUM(Z$9:Z11)),
MAX(0,$O$33-SUMPRODUCT($T$9:$T12,Y$9:Y12)-SUM(Z$9:AA11)),
MAX(0,$P$33-SUM($U$33:X$33)-SUMPRODUCT($T$9:$T12,Y$9:Y12)-SUM(Z$9:AA11))
)</f>
        <v>0</v>
      </c>
      <c r="AA12" s="97">
        <f>MIN(
$S12*MAX(I12-$Q12-Y12-Z12,0),
MAX(0,$O$33-SUMPRODUCT($T$9:$T12,Y$9:Y12)-SUM(Z$9:Z12)-SUM(AA$9:AA11)),
MAX(0,$P$33-SUM($U$33:X$33)-SUMPRODUCT($T$9:$T12,Y$9:Y12)-SUM(Z$9:Z12)-SUM(AA$9:AA11))
)</f>
        <v>0</v>
      </c>
      <c r="AB12" s="97">
        <f>IF(K12=0,0,
MIN(
$O12*MAX(K12-CEILING($Q12+$P12*MIN($O$32-SUM(AC$9:AC11),$P$32-SUM(AC$9:AC11,$U$35:AA$35))/(L12/K12),1),0),
MAX(0,$O$33-SUMPRODUCT($T$9:$T11,AB$9:AB11)-SUM(AC$9:AD11)),
MAX(0,$P$33-SUM($U$33:AA$33)-SUMPRODUCT($T$9:$T11,AB$9:AB11)-SUM(AC$9:AD11))
)
)</f>
        <v>0</v>
      </c>
      <c r="AC12" s="97">
        <f>MIN(
$R12*MAX(L12-AB12-MIN(L12,$Q12),0),
MAX(0,$O$32-SUM(AC$9:AC11)),
MAX(0,$P$32-SUM($U$35:AA$35)-SUM(AC$9:AC11)),
MAX(0,$O$33-SUMPRODUCT($T$9:$T12,AB$9:AB12)-SUM(AC$9:AD11)),
MAX(0,$P$33-SUM($U$33:AA$33)-SUMPRODUCT($T$9:$T12,AB$9:AB12)-SUM(AC$9:AD11))
)</f>
        <v>0</v>
      </c>
      <c r="AD12" s="97">
        <f>MIN(
$S12*MAX(L12-$Q12-AB12-AC12,0),
MAX(0,$O$33-SUMPRODUCT($T$9:$T12,AB$9:AB12)-SUM(AC$9:AC12)-SUM(AD$9:AD11)),
MAX(0,$P$33-SUM($U$33:AA$33)-SUMPRODUCT($T$9:$T12,AB$9:AB12)-SUM(AC$9:AC12)-SUM(AD$9:AD11))
)</f>
        <v>0</v>
      </c>
      <c r="AE12" s="97">
        <f t="shared" ref="AE12:AE13" si="10">C12-SUM(V12:AD12)</f>
        <v>0</v>
      </c>
    </row>
    <row r="13" spans="1:33" s="66" customFormat="1" ht="17.100000000000001" customHeight="1">
      <c r="A13" s="92" t="s">
        <v>233</v>
      </c>
      <c r="B13" s="90">
        <f>'Cost Estimator'!F16</f>
        <v>0</v>
      </c>
      <c r="C13" s="91">
        <f>B13*Asmpt!$B21</f>
        <v>0</v>
      </c>
      <c r="E13" s="90">
        <f t="shared" ref="E13:E29" si="11">ROUND(E$72*B13,0)</f>
        <v>0</v>
      </c>
      <c r="F13" s="91">
        <f t="shared" si="0"/>
        <v>0</v>
      </c>
      <c r="G13" s="92"/>
      <c r="H13" s="90">
        <f t="shared" ref="H13:H29" si="12">IF(E$71&lt;4,B13-E13,ROUND(H$72*B13,0))</f>
        <v>0</v>
      </c>
      <c r="I13" s="91">
        <f t="shared" si="1"/>
        <v>0</v>
      </c>
      <c r="J13" s="92"/>
      <c r="K13" s="93">
        <f t="shared" si="2"/>
        <v>0</v>
      </c>
      <c r="L13" s="91">
        <f t="shared" si="3"/>
        <v>0</v>
      </c>
      <c r="N13" s="66" t="str">
        <f t="shared" si="4"/>
        <v>Chiro/Accupuncture</v>
      </c>
      <c r="O13" s="94">
        <f>Asmpt!$D$76</f>
        <v>0</v>
      </c>
      <c r="P13" s="95">
        <f>Asmpt!$D$77</f>
        <v>0</v>
      </c>
      <c r="Q13" s="94">
        <f>Asmpt!$D$78</f>
        <v>0</v>
      </c>
      <c r="R13" s="95">
        <f>Asmpt!$D$79</f>
        <v>1</v>
      </c>
      <c r="S13" s="96">
        <f>IF(Asmpt!$D$80=0,0,Asmpt!$D$46)</f>
        <v>0.2</v>
      </c>
      <c r="T13" s="89">
        <f>Asmpt!$D$51</f>
        <v>1</v>
      </c>
      <c r="U13" s="93"/>
      <c r="V13" s="97">
        <f>IF(E13=0,0,
MIN(
$O13*MAX(E13-CEILING($Q13+$P13*MIN($O$32-SUM(W$9:W12),$P$32-SUM(W$9:W12,$U$35:U$35))/(F13/E13),1),0),
MAX(0,$O$33-SUMPRODUCT($T$9:$T12,V$9:V12)-SUM(W$9:X12)),
MAX(0,$P$33-SUM($U$33:U$33)-SUMPRODUCT($T$9:$T12,V$9:V12)-SUM(W$9:X12))
)
)</f>
        <v>0</v>
      </c>
      <c r="W13" s="97">
        <f>MIN(
$R13*MAX(F13-V13-MIN(F13,$Q13),0),
MAX(0,$O$32-SUM(W$9:W12)),
MAX(0,$P$32-SUM($U$35:U$35)-SUM(W$9:W12)),
MAX(0,$O$33-SUMPRODUCT($T$9:$T13,V$9:V13)-SUM(W$9:X12)),
MAX(0,$P$33-SUM($U$33:U$33)-SUMPRODUCT($T$9:$T13,V$9:V13)-SUM(W$9:X12))
)</f>
        <v>0</v>
      </c>
      <c r="X13" s="97">
        <f>MIN(
$S13*MAX(F13-$Q13-V13-W13,0),
MAX(0,$O$33-SUMPRODUCT($T$9:$T13,V$9:V13)-SUM(W$9:W13)-SUM(X$9:X12)),
MAX(0,$P$33-SUM($U$33:U$33)-SUMPRODUCT($T$9:$T13,V$9:V13)-SUM(W$9:W13)-SUM(X$9:X12))
)</f>
        <v>0</v>
      </c>
      <c r="Y13" s="97">
        <f>IF(H13=0,0,
MIN(
$O13*MAX(H13-CEILING($Q13+$P13*MIN($O$32-SUM(Z$9:Z12),$P$32-SUM(Z$9:Z12,$U$35:X$35))/(I13/H13),1),0),
MAX(0,$O$33-SUMPRODUCT($T$9:$T12,Y$9:Y12)-SUM(Z$9:AA12)),
MAX(0,$P$33-SUM($U$33:X$33)-SUMPRODUCT($T$9:$T12,Y$9:Y12)-SUM(Z$9:AA12))
)
)</f>
        <v>0</v>
      </c>
      <c r="Z13" s="97">
        <f>MIN(
$R13*MAX(I13-Y13-MIN(I13,$Q13),0),
MAX(0,$O$32-SUM(Z$9:Z12)),
MAX(0,$P$32-SUM($U$35:X$35)-SUM(Z$9:Z12)),
MAX(0,$O$33-SUMPRODUCT($T$9:$T13,Y$9:Y13)-SUM(Z$9:AA12)),
MAX(0,$P$33-SUM($U$33:X$33)-SUMPRODUCT($T$9:$T13,Y$9:Y13)-SUM(Z$9:AA12))
)</f>
        <v>0</v>
      </c>
      <c r="AA13" s="97">
        <f>MIN(
$S13*MAX(I13-$Q13-Y13-Z13,0),
MAX(0,$O$33-SUMPRODUCT($T$9:$T13,Y$9:Y13)-SUM(Z$9:Z13)-SUM(AA$9:AA12)),
MAX(0,$P$33-SUM($U$33:X$33)-SUMPRODUCT($T$9:$T13,Y$9:Y13)-SUM(Z$9:Z13)-SUM(AA$9:AA12))
)</f>
        <v>0</v>
      </c>
      <c r="AB13" s="97">
        <f>IF(K13=0,0,
MIN(
$O13*MAX(K13-CEILING($Q13+$P13*MIN($O$32-SUM(AC$9:AC12),$P$32-SUM(AC$9:AC12,$U$35:AA$35))/(L13/K13),1),0),
MAX(0,$O$33-SUMPRODUCT($T$9:$T12,AB$9:AB12)-SUM(AC$9:AD12)),
MAX(0,$P$33-SUM($U$33:AA$33)-SUMPRODUCT($T$9:$T12,AB$9:AB12)-SUM(AC$9:AD12))
)
)</f>
        <v>0</v>
      </c>
      <c r="AC13" s="97">
        <f>MIN(
$R13*MAX(L13-AB13-MIN(L13,$Q13),0),
MAX(0,$O$32-SUM(AC$9:AC12)),
MAX(0,$P$32-SUM($U$35:AA$35)-SUM(AC$9:AC12)),
MAX(0,$O$33-SUMPRODUCT($T$9:$T13,AB$9:AB13)-SUM(AC$9:AD12)),
MAX(0,$P$33-SUM($U$33:AA$33)-SUMPRODUCT($T$9:$T13,AB$9:AB13)-SUM(AC$9:AD12))
)</f>
        <v>0</v>
      </c>
      <c r="AD13" s="97">
        <f>MIN(
$S13*MAX(L13-$Q13-AB13-AC13,0),
MAX(0,$O$33-SUMPRODUCT($T$9:$T13,AB$9:AB13)-SUM(AC$9:AC13)-SUM(AD$9:AD12)),
MAX(0,$P$33-SUM($U$33:AA$33)-SUMPRODUCT($T$9:$T13,AB$9:AB13)-SUM(AC$9:AC13)-SUM(AD$9:AD12))
)</f>
        <v>0</v>
      </c>
      <c r="AE13" s="97">
        <f t="shared" si="10"/>
        <v>0</v>
      </c>
    </row>
    <row r="14" spans="1:33" s="66" customFormat="1" ht="17.100000000000001" customHeight="1">
      <c r="A14" s="92" t="s">
        <v>111</v>
      </c>
      <c r="B14" s="90">
        <f>'Cost Estimator'!G16</f>
        <v>0</v>
      </c>
      <c r="C14" s="91">
        <f>B14*Asmpt!$B22</f>
        <v>0</v>
      </c>
      <c r="E14" s="90">
        <f t="shared" si="11"/>
        <v>0</v>
      </c>
      <c r="F14" s="91">
        <f t="shared" si="0"/>
        <v>0</v>
      </c>
      <c r="G14" s="92"/>
      <c r="H14" s="90">
        <f t="shared" si="12"/>
        <v>0</v>
      </c>
      <c r="I14" s="91">
        <f t="shared" si="1"/>
        <v>0</v>
      </c>
      <c r="J14" s="92"/>
      <c r="K14" s="93">
        <f t="shared" si="2"/>
        <v>0</v>
      </c>
      <c r="L14" s="91">
        <f t="shared" si="3"/>
        <v>0</v>
      </c>
      <c r="N14" s="66" t="str">
        <f t="shared" si="4"/>
        <v>Specialist Office Visits</v>
      </c>
      <c r="O14" s="94">
        <f>Asmpt!$D$82</f>
        <v>0</v>
      </c>
      <c r="P14" s="95">
        <f>Asmpt!$D$83</f>
        <v>0</v>
      </c>
      <c r="Q14" s="94">
        <f>Asmpt!$D$84</f>
        <v>0</v>
      </c>
      <c r="R14" s="95">
        <f>Asmpt!$D$85</f>
        <v>1</v>
      </c>
      <c r="S14" s="96">
        <f>IF(Asmpt!$D$86=0,0,Asmpt!$D$46)</f>
        <v>0.2</v>
      </c>
      <c r="T14" s="89">
        <f>Asmpt!$D$51</f>
        <v>1</v>
      </c>
      <c r="U14" s="93"/>
      <c r="V14" s="97">
        <f>IF(E14=0,0,
MIN(
$O14*MAX(E14-CEILING($Q14+$P14*MIN($O$32-SUM(W$9:W13),$P$32-SUM(W$9:W13,$U$35:U$35))/(F14/E14),1),0),
MAX(0,$O$33-SUMPRODUCT($T$9:$T13,V$9:V13)-SUM(W$9:X13)),
MAX(0,$P$33-SUM($U$33:U$33)-SUMPRODUCT($T$9:$T13,V$9:V13)-SUM(W$9:X13))
)
)</f>
        <v>0</v>
      </c>
      <c r="W14" s="97">
        <f>MIN(
$R14*MAX(F14-V14-MIN(F14,$Q14),0),
MAX(0,$O$32-SUM(W$9:W13)),
MAX(0,$P$32-SUM($U$35:U$35)-SUM(W$9:W13)),
MAX(0,$O$33-SUMPRODUCT($T$9:$T14,V$9:V14)-SUM(W$9:X13)),
MAX(0,$P$33-SUM($U$33:U$33)-SUMPRODUCT($T$9:$T14,V$9:V14)-SUM(W$9:X13))
)</f>
        <v>0</v>
      </c>
      <c r="X14" s="97">
        <f>MIN(
$S14*MAX(F14-$Q14-V14-W14,0),
MAX(0,$O$33-SUMPRODUCT($T$9:$T14,V$9:V14)-SUM(W$9:W14)-SUM(X$9:X13)),
MAX(0,$P$33-SUM($U$33:U$33)-SUMPRODUCT($T$9:$T14,V$9:V14)-SUM(W$9:W14)-SUM(X$9:X13))
)</f>
        <v>0</v>
      </c>
      <c r="Y14" s="97">
        <f>IF(H14=0,0,
MIN(
$O14*MAX(H14-CEILING($Q14+$P14*MIN($O$32-SUM(Z$9:Z13),$P$32-SUM(Z$9:Z13,$U$35:X$35))/(I14/H14),1),0),
MAX(0,$O$33-SUMPRODUCT($T$9:$T13,Y$9:Y13)-SUM(Z$9:AA13)),
MAX(0,$P$33-SUM($U$33:X$33)-SUMPRODUCT($T$9:$T13,Y$9:Y13)-SUM(Z$9:AA13))
)
)</f>
        <v>0</v>
      </c>
      <c r="Z14" s="97">
        <f>MIN(
$R14*MAX(I14-Y14-MIN(I14,$Q14),0),
MAX(0,$O$32-SUM(Z$9:Z13)),
MAX(0,$P$32-SUM($U$35:X$35)-SUM(Z$9:Z13)),
MAX(0,$O$33-SUMPRODUCT($T$9:$T14,Y$9:Y14)-SUM(Z$9:AA13)),
MAX(0,$P$33-SUM($U$33:X$33)-SUMPRODUCT($T$9:$T14,Y$9:Y14)-SUM(Z$9:AA13))
)</f>
        <v>0</v>
      </c>
      <c r="AA14" s="97">
        <f>MIN(
$S14*MAX(I14-$Q14-Y14-Z14,0),
MAX(0,$O$33-SUMPRODUCT($T$9:$T14,Y$9:Y14)-SUM(Z$9:Z14)-SUM(AA$9:AA13)),
MAX(0,$P$33-SUM($U$33:X$33)-SUMPRODUCT($T$9:$T14,Y$9:Y14)-SUM(Z$9:Z14)-SUM(AA$9:AA13))
)</f>
        <v>0</v>
      </c>
      <c r="AB14" s="97">
        <f>IF(K14=0,0,
MIN(
$O14*MAX(K14-CEILING($Q14+$P14*MIN($O$32-SUM(AC$9:AC13),$P$32-SUM(AC$9:AC13,$U$35:AA$35))/(L14/K14),1),0),
MAX(0,$O$33-SUMPRODUCT($T$9:$T13,AB$9:AB13)-SUM(AC$9:AD13)),
MAX(0,$P$33-SUM($U$33:AA$33)-SUMPRODUCT($T$9:$T13,AB$9:AB13)-SUM(AC$9:AD13))
)
)</f>
        <v>0</v>
      </c>
      <c r="AC14" s="97">
        <f>MIN(
$R14*MAX(L14-AB14-MIN(L14,$Q14),0),
MAX(0,$O$32-SUM(AC$9:AC13)),
MAX(0,$P$32-SUM($U$35:AA$35)-SUM(AC$9:AC13)),
MAX(0,$O$33-SUMPRODUCT($T$9:$T14,AB$9:AB14)-SUM(AC$9:AD13)),
MAX(0,$P$33-SUM($U$33:AA$33)-SUMPRODUCT($T$9:$T14,AB$9:AB14)-SUM(AC$9:AD13))
)</f>
        <v>0</v>
      </c>
      <c r="AD14" s="97">
        <f>MIN(
$S14*MAX(L14-$Q14-AB14-AC14,0),
MAX(0,$O$33-SUMPRODUCT($T$9:$T14,AB$9:AB14)-SUM(AC$9:AC14)-SUM(AD$9:AD13)),
MAX(0,$P$33-SUM($U$33:AA$33)-SUMPRODUCT($T$9:$T14,AB$9:AB14)-SUM(AC$9:AC14)-SUM(AD$9:AD13))
)</f>
        <v>0</v>
      </c>
      <c r="AE14" s="97">
        <f t="shared" ref="AE14" si="13">C14-SUM(V14:AD14)</f>
        <v>0</v>
      </c>
    </row>
    <row r="15" spans="1:33" s="66" customFormat="1" ht="17.100000000000001" customHeight="1">
      <c r="A15" s="92" t="s">
        <v>215</v>
      </c>
      <c r="B15" s="90">
        <f>'Cost Estimator'!F23</f>
        <v>0</v>
      </c>
      <c r="C15" s="91">
        <f>B15*Asmpt!$B23</f>
        <v>0</v>
      </c>
      <c r="E15" s="90">
        <f t="shared" si="11"/>
        <v>0</v>
      </c>
      <c r="F15" s="91">
        <f t="shared" si="0"/>
        <v>0</v>
      </c>
      <c r="G15" s="92"/>
      <c r="H15" s="90">
        <f t="shared" si="12"/>
        <v>0</v>
      </c>
      <c r="I15" s="91">
        <f t="shared" si="1"/>
        <v>0</v>
      </c>
      <c r="J15" s="92"/>
      <c r="K15" s="93">
        <f>B15-E15-H15</f>
        <v>0</v>
      </c>
      <c r="L15" s="91">
        <f t="shared" si="3"/>
        <v>0</v>
      </c>
      <c r="N15" s="66" t="str">
        <f t="shared" si="4"/>
        <v>Retail Preferred Generic</v>
      </c>
      <c r="O15" s="94">
        <f>Asmpt!$D$88</f>
        <v>0</v>
      </c>
      <c r="P15" s="95">
        <f>Asmpt!$D$89</f>
        <v>0</v>
      </c>
      <c r="Q15" s="94">
        <f>Asmpt!$D$90</f>
        <v>0</v>
      </c>
      <c r="R15" s="95">
        <f>Asmpt!$D$91</f>
        <v>1</v>
      </c>
      <c r="S15" s="96">
        <f>IF(Asmpt!$D$92=0,0,Asmpt!$D$47)</f>
        <v>0.2</v>
      </c>
      <c r="T15" s="89">
        <f>Asmpt!$D$51</f>
        <v>1</v>
      </c>
      <c r="U15" s="93"/>
      <c r="V15" s="97">
        <f>IF(E15=0,0,
MIN(
$O15*MAX(E15-CEILING($Q15+$P15*MIN($O$32-SUM(W$9:W14),$P$32-SUM(W$9:W14,$U$35:U$35))/(F15/E15),1),0),
MAX(0,$O$33-SUMPRODUCT($T$9:$T14,V$9:V14)-SUM(W$9:X14)),
MAX(0,$P$33-SUM($U$33:U$33)-SUMPRODUCT($T$9:$T14,V$9:V14)-SUM(W$9:X14))
)
)</f>
        <v>0</v>
      </c>
      <c r="W15" s="97">
        <f>MIN(
$R15*MAX(F15-V15-MIN(F15,$Q15),0),
MAX(0,$O$32-SUM(W$9:W14)),
MAX(0,$P$32-SUM($U$35:U$35)-SUM(W$9:W14)),
MAX(0,$O$33-SUMPRODUCT($T$9:$T15,V$9:V15)-SUM(W$9:X14)),
MAX(0,$P$33-SUM($U$33:U$33)-SUMPRODUCT($T$9:$T15,V$9:V15)-SUM(W$9:X14))
)</f>
        <v>0</v>
      </c>
      <c r="X15" s="97">
        <f>MIN(
$S15*MAX(F15-$Q15-V15-W15,0),
MAX(0,$O$33-SUMPRODUCT($T$9:$T15,V$9:V15)-SUM(W$9:W15)-SUM(X$9:X14)),
MAX(0,$P$33-SUM($U$33:U$33)-SUMPRODUCT($T$9:$T15,V$9:V15)-SUM(W$9:W15)-SUM(X$9:X14))
)</f>
        <v>0</v>
      </c>
      <c r="Y15" s="97">
        <f>IF(H15=0,0,
MIN(
$O15*MAX(H15-CEILING($Q15+$P15*MIN($O$32-SUM(Z$9:Z14),$P$32-SUM(Z$9:Z14,$U$35:X$35))/(I15/H15),1),0),
MAX(0,$O$33-SUMPRODUCT($T$9:$T14,Y$9:Y14)-SUM(Z$9:AA14)),
MAX(0,$P$33-SUM($U$33:X$33)-SUMPRODUCT($T$9:$T14,Y$9:Y14)-SUM(Z$9:AA14))
)
)</f>
        <v>0</v>
      </c>
      <c r="Z15" s="97">
        <f>MIN(
$R15*MAX(I15-Y15-MIN(I15,$Q15),0),
MAX(0,$O$32-SUM(Z$9:Z14)),
MAX(0,$P$32-SUM($U$35:X$35)-SUM(Z$9:Z14)),
MAX(0,$O$33-SUMPRODUCT($T$9:$T15,Y$9:Y15)-SUM(Z$9:AA14)),
MAX(0,$P$33-SUM($U$33:X$33)-SUMPRODUCT($T$9:$T15,Y$9:Y15)-SUM(Z$9:AA14))
)</f>
        <v>0</v>
      </c>
      <c r="AA15" s="97">
        <f>MIN(
$S15*MAX(I15-$Q15-Y15-Z15,0),
MAX(0,$O$33-SUMPRODUCT($T$9:$T15,Y$9:Y15)-SUM(Z$9:Z15)-SUM(AA$9:AA14)),
MAX(0,$P$33-SUM($U$33:X$33)-SUMPRODUCT($T$9:$T15,Y$9:Y15)-SUM(Z$9:Z15)-SUM(AA$9:AA14))
)</f>
        <v>0</v>
      </c>
      <c r="AB15" s="97">
        <f>IF(K15=0,0,
MIN(
$O15*MAX(K15-CEILING($Q15+$P15*MIN($O$32-SUM(AC$9:AC14),$P$32-SUM(AC$9:AC14,$U$35:AA$35))/(L15/K15),1),0),
MAX(0,$O$33-SUMPRODUCT($T$9:$T14,AB$9:AB14)-SUM(AC$9:AD14)),
MAX(0,$P$33-SUM($U$33:AA$33)-SUMPRODUCT($T$9:$T14,AB$9:AB14)-SUM(AC$9:AD14))
)
)</f>
        <v>0</v>
      </c>
      <c r="AC15" s="97">
        <f>MIN(
$R15*MAX(L15-AB15-MIN(L15,$Q15),0),
MAX(0,$O$32-SUM(AC$9:AC14)),
MAX(0,$P$32-SUM($U$35:AA$35)-SUM(AC$9:AC14)),
MAX(0,$O$33-SUMPRODUCT($T$9:$T15,AB$9:AB15)-SUM(AC$9:AD14)),
MAX(0,$P$33-SUM($U$33:AA$33)-SUMPRODUCT($T$9:$T15,AB$9:AB15)-SUM(AC$9:AD14))
)</f>
        <v>0</v>
      </c>
      <c r="AD15" s="97">
        <f>MIN(
$S15*MAX(L15-$Q15-AB15-AC15,0),
MAX(0,$O$33-SUMPRODUCT($T$9:$T15,AB$9:AB15)-SUM(AC$9:AC15)-SUM(AD$9:AD14)),
MAX(0,$P$33-SUM($U$33:AA$33)-SUMPRODUCT($T$9:$T15,AB$9:AB15)-SUM(AC$9:AC15)-SUM(AD$9:AD14))
)</f>
        <v>0</v>
      </c>
      <c r="AE15" s="97">
        <f t="shared" ref="AE15:AE29" si="14">C15-SUM(V15:AD15)</f>
        <v>0</v>
      </c>
    </row>
    <row r="16" spans="1:33" s="66" customFormat="1" ht="17.100000000000001" customHeight="1">
      <c r="A16" s="92" t="s">
        <v>216</v>
      </c>
      <c r="B16" s="90">
        <f>'Cost Estimator'!F24</f>
        <v>0</v>
      </c>
      <c r="C16" s="91">
        <f>B16*Asmpt!$B24</f>
        <v>0</v>
      </c>
      <c r="E16" s="90">
        <f t="shared" si="11"/>
        <v>0</v>
      </c>
      <c r="F16" s="91">
        <f t="shared" si="0"/>
        <v>0</v>
      </c>
      <c r="G16" s="92"/>
      <c r="H16" s="90">
        <f t="shared" si="12"/>
        <v>0</v>
      </c>
      <c r="I16" s="91">
        <f t="shared" si="1"/>
        <v>0</v>
      </c>
      <c r="J16" s="92"/>
      <c r="K16" s="93">
        <f t="shared" ref="K16:K24" si="15">B16-E16-H16</f>
        <v>0</v>
      </c>
      <c r="L16" s="91">
        <f t="shared" si="3"/>
        <v>0</v>
      </c>
      <c r="N16" s="66" t="str">
        <f t="shared" si="4"/>
        <v>Retail Non-Preferred Generic</v>
      </c>
      <c r="O16" s="94">
        <f>Asmpt!$D$94</f>
        <v>0</v>
      </c>
      <c r="P16" s="95">
        <f>Asmpt!$D$95</f>
        <v>0</v>
      </c>
      <c r="Q16" s="94">
        <f>Asmpt!$D$96</f>
        <v>0</v>
      </c>
      <c r="R16" s="95">
        <f>Asmpt!$D$97</f>
        <v>1</v>
      </c>
      <c r="S16" s="96">
        <f>IF(Asmpt!$D$98=0,0,Asmpt!$D$47)</f>
        <v>0.2</v>
      </c>
      <c r="T16" s="89">
        <f>Asmpt!$D$51</f>
        <v>1</v>
      </c>
      <c r="U16" s="93"/>
      <c r="V16" s="97">
        <f>IF(E16=0,0,
MIN(
$O16*MAX(E16-CEILING($Q16+$P16*MIN($O$32-SUM(W$9:W15),$P$32-SUM(W$9:W15,$U$35:U$35))/(F16/E16),1),0),
MAX(0,$O$33-SUMPRODUCT($T$9:$T15,V$9:V15)-SUM(W$9:X15)),
MAX(0,$P$33-SUM($U$33:U$33)-SUMPRODUCT($T$9:$T15,V$9:V15)-SUM(W$9:X15))
)
)</f>
        <v>0</v>
      </c>
      <c r="W16" s="97">
        <f>MIN(
$R16*MAX(F16-V16-MIN(F16,$Q16),0),
MAX(0,$O$32-SUM(W$9:W15)),
MAX(0,$P$32-SUM($U$35:U$35)-SUM(W$9:W15)),
MAX(0,$O$33-SUMPRODUCT($T$9:$T16,V$9:V16)-SUM(W$9:X15)),
MAX(0,$P$33-SUM($U$33:U$33)-SUMPRODUCT($T$9:$T16,V$9:V16)-SUM(W$9:X15))
)</f>
        <v>0</v>
      </c>
      <c r="X16" s="97">
        <f>MIN(
$S16*MAX(F16-$Q16-V16-W16,0),
MAX(0,$O$33-SUMPRODUCT($T$9:$T16,V$9:V16)-SUM(W$9:W16)-SUM(X$9:X15)),
MAX(0,$P$33-SUM($U$33:U$33)-SUMPRODUCT($T$9:$T16,V$9:V16)-SUM(W$9:W16)-SUM(X$9:X15))
)</f>
        <v>0</v>
      </c>
      <c r="Y16" s="97">
        <f>IF(H16=0,0,
MIN(
$O16*MAX(H16-CEILING($Q16+$P16*MIN($O$32-SUM(Z$9:Z15),$P$32-SUM(Z$9:Z15,$U$35:X$35))/(I16/H16),1),0),
MAX(0,$O$33-SUMPRODUCT($T$9:$T15,Y$9:Y15)-SUM(Z$9:AA15)),
MAX(0,$P$33-SUM($U$33:X$33)-SUMPRODUCT($T$9:$T15,Y$9:Y15)-SUM(Z$9:AA15))
)
)</f>
        <v>0</v>
      </c>
      <c r="Z16" s="97">
        <f>MIN(
$R16*MAX(I16-Y16-MIN(I16,$Q16),0),
MAX(0,$O$32-SUM(Z$9:Z15)),
MAX(0,$P$32-SUM($U$35:X$35)-SUM(Z$9:Z15)),
MAX(0,$O$33-SUMPRODUCT($T$9:$T16,Y$9:Y16)-SUM(Z$9:AA15)),
MAX(0,$P$33-SUM($U$33:X$33)-SUMPRODUCT($T$9:$T16,Y$9:Y16)-SUM(Z$9:AA15))
)</f>
        <v>0</v>
      </c>
      <c r="AA16" s="97">
        <f>MIN(
$S16*MAX(I16-$Q16-Y16-Z16,0),
MAX(0,$O$33-SUMPRODUCT($T$9:$T16,Y$9:Y16)-SUM(Z$9:Z16)-SUM(AA$9:AA15)),
MAX(0,$P$33-SUM($U$33:X$33)-SUMPRODUCT($T$9:$T16,Y$9:Y16)-SUM(Z$9:Z16)-SUM(AA$9:AA15))
)</f>
        <v>0</v>
      </c>
      <c r="AB16" s="97">
        <f>IF(K16=0,0,
MIN(
$O16*MAX(K16-CEILING($Q16+$P16*MIN($O$32-SUM(AC$9:AC15),$P$32-SUM(AC$9:AC15,$U$35:AA$35))/(L16/K16),1),0),
MAX(0,$O$33-SUMPRODUCT($T$9:$T15,AB$9:AB15)-SUM(AC$9:AD15)),
MAX(0,$P$33-SUM($U$33:AA$33)-SUMPRODUCT($T$9:$T15,AB$9:AB15)-SUM(AC$9:AD15))
)
)</f>
        <v>0</v>
      </c>
      <c r="AC16" s="97">
        <f>MIN(
$R16*MAX(L16-AB16-MIN(L16,$Q16),0),
MAX(0,$O$32-SUM(AC$9:AC15)),
MAX(0,$P$32-SUM($U$35:AA$35)-SUM(AC$9:AC15)),
MAX(0,$O$33-SUMPRODUCT($T$9:$T16,AB$9:AB16)-SUM(AC$9:AD15)),
MAX(0,$P$33-SUM($U$33:AA$33)-SUMPRODUCT($T$9:$T16,AB$9:AB16)-SUM(AC$9:AD15))
)</f>
        <v>0</v>
      </c>
      <c r="AD16" s="97">
        <f>MIN(
$S16*MAX(L16-$Q16-AB16-AC16,0),
MAX(0,$O$33-SUMPRODUCT($T$9:$T16,AB$9:AB16)-SUM(AC$9:AC16)-SUM(AD$9:AD15)),
MAX(0,$P$33-SUM($U$33:AA$33)-SUMPRODUCT($T$9:$T16,AB$9:AB16)-SUM(AC$9:AC16)-SUM(AD$9:AD15))
)</f>
        <v>0</v>
      </c>
      <c r="AE16" s="97">
        <f t="shared" si="14"/>
        <v>0</v>
      </c>
    </row>
    <row r="17" spans="1:31" s="66" customFormat="1" ht="17.100000000000001" customHeight="1">
      <c r="A17" s="92" t="s">
        <v>112</v>
      </c>
      <c r="B17" s="90">
        <f>'Cost Estimator'!F25</f>
        <v>0</v>
      </c>
      <c r="C17" s="91">
        <f>B17*Asmpt!$B25</f>
        <v>0</v>
      </c>
      <c r="E17" s="90">
        <f t="shared" si="11"/>
        <v>0</v>
      </c>
      <c r="F17" s="91">
        <f t="shared" si="0"/>
        <v>0</v>
      </c>
      <c r="G17" s="92"/>
      <c r="H17" s="90">
        <f t="shared" si="12"/>
        <v>0</v>
      </c>
      <c r="I17" s="91">
        <f t="shared" si="1"/>
        <v>0</v>
      </c>
      <c r="J17" s="92"/>
      <c r="K17" s="93">
        <f t="shared" si="15"/>
        <v>0</v>
      </c>
      <c r="L17" s="91">
        <f t="shared" si="3"/>
        <v>0</v>
      </c>
      <c r="N17" s="66" t="str">
        <f t="shared" si="4"/>
        <v>Retail Preferred Brand</v>
      </c>
      <c r="O17" s="94">
        <f>Asmpt!$D$100</f>
        <v>0</v>
      </c>
      <c r="P17" s="95">
        <f>Asmpt!$D$101</f>
        <v>0</v>
      </c>
      <c r="Q17" s="94">
        <f>Asmpt!$D$102</f>
        <v>0</v>
      </c>
      <c r="R17" s="95">
        <f>Asmpt!$D$103</f>
        <v>1</v>
      </c>
      <c r="S17" s="96">
        <f>IF(Asmpt!$D$104=0,0,Asmpt!$D$47)</f>
        <v>0.2</v>
      </c>
      <c r="T17" s="89">
        <f>Asmpt!$D$51</f>
        <v>1</v>
      </c>
      <c r="U17" s="93"/>
      <c r="V17" s="97">
        <f>IF(E17=0,0,
MIN(
$O17*MAX(E17-CEILING($Q17+$P17*MIN($O$32-SUM(W$9:W16),$P$32-SUM(W$9:W16,$U$35:U$35))/(F17/E17),1),0),
MAX(0,$O$33-SUMPRODUCT($T$9:$T16,V$9:V16)-SUM(W$9:X16)),
MAX(0,$P$33-SUM($U$33:U$33)-SUMPRODUCT($T$9:$T16,V$9:V16)-SUM(W$9:X16))
)
)</f>
        <v>0</v>
      </c>
      <c r="W17" s="97">
        <f>MIN(
$R17*MAX(F17-V17-MIN(F17,$Q17),0),
MAX(0,$O$32-SUM(W$9:W16)),
MAX(0,$P$32-SUM($U$35:U$35)-SUM(W$9:W16)),
MAX(0,$O$33-SUMPRODUCT($T$9:$T17,V$9:V17)-SUM(W$9:X16)),
MAX(0,$P$33-SUM($U$33:U$33)-SUMPRODUCT($T$9:$T17,V$9:V17)-SUM(W$9:X16))
)</f>
        <v>0</v>
      </c>
      <c r="X17" s="97">
        <f>MIN(
$S17*MAX(F17-$Q17-V17-W17,0),
MAX(0,$O$33-SUMPRODUCT($T$9:$T17,V$9:V17)-SUM(W$9:W17)-SUM(X$9:X16)),
MAX(0,$P$33-SUM($U$33:U$33)-SUMPRODUCT($T$9:$T17,V$9:V17)-SUM(W$9:W17)-SUM(X$9:X16))
)</f>
        <v>0</v>
      </c>
      <c r="Y17" s="97">
        <f>IF(H17=0,0,
MIN(
$O17*MAX(H17-CEILING($Q17+$P17*MIN($O$32-SUM(Z$9:Z16),$P$32-SUM(Z$9:Z16,$U$35:X$35))/(I17/H17),1),0),
MAX(0,$O$33-SUMPRODUCT($T$9:$T16,Y$9:Y16)-SUM(Z$9:AA16)),
MAX(0,$P$33-SUM($U$33:X$33)-SUMPRODUCT($T$9:$T16,Y$9:Y16)-SUM(Z$9:AA16))
)
)</f>
        <v>0</v>
      </c>
      <c r="Z17" s="97">
        <f>MIN(
$R17*MAX(I17-Y17-MIN(I17,$Q17),0),
MAX(0,$O$32-SUM(Z$9:Z16)),
MAX(0,$P$32-SUM($U$35:X$35)-SUM(Z$9:Z16)),
MAX(0,$O$33-SUMPRODUCT($T$9:$T17,Y$9:Y17)-SUM(Z$9:AA16)),
MAX(0,$P$33-SUM($U$33:X$33)-SUMPRODUCT($T$9:$T17,Y$9:Y17)-SUM(Z$9:AA16))
)</f>
        <v>0</v>
      </c>
      <c r="AA17" s="97">
        <f>MIN(
$S17*MAX(I17-$Q17-Y17-Z17,0),
MAX(0,$O$33-SUMPRODUCT($T$9:$T17,Y$9:Y17)-SUM(Z$9:Z17)-SUM(AA$9:AA16)),
MAX(0,$P$33-SUM($U$33:X$33)-SUMPRODUCT($T$9:$T17,Y$9:Y17)-SUM(Z$9:Z17)-SUM(AA$9:AA16))
)</f>
        <v>0</v>
      </c>
      <c r="AB17" s="97">
        <f>IF(K17=0,0,
MIN(
$O17*MAX(K17-CEILING($Q17+$P17*MIN($O$32-SUM(AC$9:AC16),$P$32-SUM(AC$9:AC16,$U$35:AA$35))/(L17/K17),1),0),
MAX(0,$O$33-SUMPRODUCT($T$9:$T16,AB$9:AB16)-SUM(AC$9:AD16)),
MAX(0,$P$33-SUM($U$33:AA$33)-SUMPRODUCT($T$9:$T16,AB$9:AB16)-SUM(AC$9:AD16))
)
)</f>
        <v>0</v>
      </c>
      <c r="AC17" s="97">
        <f>MIN(
$R17*MAX(L17-AB17-MIN(L17,$Q17),0),
MAX(0,$O$32-SUM(AC$9:AC16)),
MAX(0,$P$32-SUM($U$35:AA$35)-SUM(AC$9:AC16)),
MAX(0,$O$33-SUMPRODUCT($T$9:$T17,AB$9:AB17)-SUM(AC$9:AD16)),
MAX(0,$P$33-SUM($U$33:AA$33)-SUMPRODUCT($T$9:$T17,AB$9:AB17)-SUM(AC$9:AD16))
)</f>
        <v>0</v>
      </c>
      <c r="AD17" s="97">
        <f>MIN(
$S17*MAX(L17-$Q17-AB17-AC17,0),
MAX(0,$O$33-SUMPRODUCT($T$9:$T17,AB$9:AB17)-SUM(AC$9:AC17)-SUM(AD$9:AD16)),
MAX(0,$P$33-SUM($U$33:AA$33)-SUMPRODUCT($T$9:$T17,AB$9:AB17)-SUM(AC$9:AC17)-SUM(AD$9:AD16))
)</f>
        <v>0</v>
      </c>
      <c r="AE17" s="97">
        <f t="shared" si="14"/>
        <v>0</v>
      </c>
    </row>
    <row r="18" spans="1:31" s="66" customFormat="1" ht="17.100000000000001" customHeight="1">
      <c r="A18" s="92" t="s">
        <v>113</v>
      </c>
      <c r="B18" s="90">
        <f>'Cost Estimator'!F26</f>
        <v>0</v>
      </c>
      <c r="C18" s="91">
        <f>B18*Asmpt!$B26</f>
        <v>0</v>
      </c>
      <c r="E18" s="90">
        <f t="shared" si="11"/>
        <v>0</v>
      </c>
      <c r="F18" s="91">
        <f t="shared" si="0"/>
        <v>0</v>
      </c>
      <c r="G18" s="92"/>
      <c r="H18" s="90">
        <f t="shared" si="12"/>
        <v>0</v>
      </c>
      <c r="I18" s="91">
        <f t="shared" si="1"/>
        <v>0</v>
      </c>
      <c r="J18" s="92"/>
      <c r="K18" s="93">
        <f t="shared" si="15"/>
        <v>0</v>
      </c>
      <c r="L18" s="91">
        <f t="shared" si="3"/>
        <v>0</v>
      </c>
      <c r="N18" s="66" t="str">
        <f t="shared" si="4"/>
        <v>Retail Non-Preferred Brand</v>
      </c>
      <c r="O18" s="94">
        <f>Asmpt!$D$106</f>
        <v>0</v>
      </c>
      <c r="P18" s="95">
        <f>Asmpt!$D$107</f>
        <v>0</v>
      </c>
      <c r="Q18" s="94">
        <f>Asmpt!$D$108</f>
        <v>0</v>
      </c>
      <c r="R18" s="95">
        <f>Asmpt!$D$109</f>
        <v>1</v>
      </c>
      <c r="S18" s="96">
        <f>IF(Asmpt!$D$110=0,0,Asmpt!$D$47)</f>
        <v>0.2</v>
      </c>
      <c r="T18" s="89">
        <f>Asmpt!$D$51</f>
        <v>1</v>
      </c>
      <c r="U18" s="93"/>
      <c r="V18" s="97">
        <f>IF(E18=0,0,
MIN(
$O18*MAX(E18-CEILING($Q18+$P18*MIN($O$32-SUM(W$9:W17),$P$32-SUM(W$9:W17,$U$35:U$35))/(F18/E18),1),0),
MAX(0,$O$33-SUMPRODUCT($T$9:$T17,V$9:V17)-SUM(W$9:X17)),
MAX(0,$P$33-SUM($U$33:U$33)-SUMPRODUCT($T$9:$T17,V$9:V17)-SUM(W$9:X17))
)
)</f>
        <v>0</v>
      </c>
      <c r="W18" s="97">
        <f>MIN(
$R18*MAX(F18-V18-MIN(F18,$Q18),0),
MAX(0,$O$32-SUM(W$9:W17)),
MAX(0,$P$32-SUM($U$35:U$35)-SUM(W$9:W17)),
MAX(0,$O$33-SUMPRODUCT($T$9:$T18,V$9:V18)-SUM(W$9:X17)),
MAX(0,$P$33-SUM($U$33:U$33)-SUMPRODUCT($T$9:$T18,V$9:V18)-SUM(W$9:X17))
)</f>
        <v>0</v>
      </c>
      <c r="X18" s="97">
        <f>MIN(
$S18*MAX(F18-$Q18-V18-W18,0),
MAX(0,$O$33-SUMPRODUCT($T$9:$T18,V$9:V18)-SUM(W$9:W18)-SUM(X$9:X17)),
MAX(0,$P$33-SUM($U$33:U$33)-SUMPRODUCT($T$9:$T18,V$9:V18)-SUM(W$9:W18)-SUM(X$9:X17))
)</f>
        <v>0</v>
      </c>
      <c r="Y18" s="97">
        <f>IF(H18=0,0,
MIN(
$O18*MAX(H18-CEILING($Q18+$P18*MIN($O$32-SUM(Z$9:Z17),$P$32-SUM(Z$9:Z17,$U$35:X$35))/(I18/H18),1),0),
MAX(0,$O$33-SUMPRODUCT($T$9:$T17,Y$9:Y17)-SUM(Z$9:AA17)),
MAX(0,$P$33-SUM($U$33:X$33)-SUMPRODUCT($T$9:$T17,Y$9:Y17)-SUM(Z$9:AA17))
)
)</f>
        <v>0</v>
      </c>
      <c r="Z18" s="97">
        <f>MIN(
$R18*MAX(I18-Y18-MIN(I18,$Q18),0),
MAX(0,$O$32-SUM(Z$9:Z17)),
MAX(0,$P$32-SUM($U$35:X$35)-SUM(Z$9:Z17)),
MAX(0,$O$33-SUMPRODUCT($T$9:$T18,Y$9:Y18)-SUM(Z$9:AA17)),
MAX(0,$P$33-SUM($U$33:X$33)-SUMPRODUCT($T$9:$T18,Y$9:Y18)-SUM(Z$9:AA17))
)</f>
        <v>0</v>
      </c>
      <c r="AA18" s="97">
        <f>MIN(
$S18*MAX(I18-$Q18-Y18-Z18,0),
MAX(0,$O$33-SUMPRODUCT($T$9:$T18,Y$9:Y18)-SUM(Z$9:Z18)-SUM(AA$9:AA17)),
MAX(0,$P$33-SUM($U$33:X$33)-SUMPRODUCT($T$9:$T18,Y$9:Y18)-SUM(Z$9:Z18)-SUM(AA$9:AA17))
)</f>
        <v>0</v>
      </c>
      <c r="AB18" s="97">
        <f>IF(K18=0,0,
MIN(
$O18*MAX(K18-CEILING($Q18+$P18*MIN($O$32-SUM(AC$9:AC17),$P$32-SUM(AC$9:AC17,$U$35:AA$35))/(L18/K18),1),0),
MAX(0,$O$33-SUMPRODUCT($T$9:$T17,AB$9:AB17)-SUM(AC$9:AD17)),
MAX(0,$P$33-SUM($U$33:AA$33)-SUMPRODUCT($T$9:$T17,AB$9:AB17)-SUM(AC$9:AD17))
)
)</f>
        <v>0</v>
      </c>
      <c r="AC18" s="97">
        <f>MIN(
$R18*MAX(L18-AB18-MIN(L18,$Q18),0),
MAX(0,$O$32-SUM(AC$9:AC17)),
MAX(0,$P$32-SUM($U$35:AA$35)-SUM(AC$9:AC17)),
MAX(0,$O$33-SUMPRODUCT($T$9:$T18,AB$9:AB18)-SUM(AC$9:AD17)),
MAX(0,$P$33-SUM($U$33:AA$33)-SUMPRODUCT($T$9:$T18,AB$9:AB18)-SUM(AC$9:AD17))
)</f>
        <v>0</v>
      </c>
      <c r="AD18" s="97">
        <f>MIN(
$S18*MAX(L18-$Q18-AB18-AC18,0),
MAX(0,$O$33-SUMPRODUCT($T$9:$T18,AB$9:AB18)-SUM(AC$9:AC18)-SUM(AD$9:AD17)),
MAX(0,$P$33-SUM($U$33:AA$33)-SUMPRODUCT($T$9:$T18,AB$9:AB18)-SUM(AC$9:AC18)-SUM(AD$9:AD17))
)</f>
        <v>0</v>
      </c>
      <c r="AE18" s="97">
        <f t="shared" si="14"/>
        <v>0</v>
      </c>
    </row>
    <row r="19" spans="1:31" s="66" customFormat="1" ht="17.100000000000001" customHeight="1">
      <c r="A19" s="92" t="s">
        <v>213</v>
      </c>
      <c r="B19" s="90">
        <f>'Cost Estimator'!F29</f>
        <v>0</v>
      </c>
      <c r="C19" s="91">
        <f>B19*Asmpt!$B27</f>
        <v>0</v>
      </c>
      <c r="E19" s="90">
        <f t="shared" si="11"/>
        <v>0</v>
      </c>
      <c r="F19" s="91">
        <f t="shared" si="0"/>
        <v>0</v>
      </c>
      <c r="G19" s="92"/>
      <c r="H19" s="90">
        <f t="shared" si="12"/>
        <v>0</v>
      </c>
      <c r="I19" s="91">
        <f t="shared" si="1"/>
        <v>0</v>
      </c>
      <c r="J19" s="92"/>
      <c r="K19" s="93">
        <f t="shared" si="15"/>
        <v>0</v>
      </c>
      <c r="L19" s="91">
        <f t="shared" si="3"/>
        <v>0</v>
      </c>
      <c r="N19" s="66" t="str">
        <f t="shared" si="4"/>
        <v>Preferred Specialty</v>
      </c>
      <c r="O19" s="94">
        <f>Asmpt!$D$112</f>
        <v>0</v>
      </c>
      <c r="P19" s="95">
        <f>Asmpt!$D$113</f>
        <v>0</v>
      </c>
      <c r="Q19" s="94">
        <f>Asmpt!$D$114</f>
        <v>0</v>
      </c>
      <c r="R19" s="95">
        <f>Asmpt!$D$115</f>
        <v>1</v>
      </c>
      <c r="S19" s="96">
        <f>IF(Asmpt!$D$116=0,0,Asmpt!$D$47)</f>
        <v>0.2</v>
      </c>
      <c r="T19" s="89">
        <f>Asmpt!$D$51</f>
        <v>1</v>
      </c>
      <c r="U19" s="93"/>
      <c r="V19" s="97">
        <f>IF(E19=0,0,
MIN(
$O19*MAX(E19-CEILING($Q19+$P19*MIN($O$32-SUM(W$9:W18),$P$32-SUM(W$9:W18,$U$35:U$35))/(F19/E19),1),0),
MAX(0,$O$33-SUMPRODUCT($T$9:$T18,V$9:V18)-SUM(W$9:X18)),
MAX(0,$P$33-SUM($U$33:U$33)-SUMPRODUCT($T$9:$T18,V$9:V18)-SUM(W$9:X18))
)
)</f>
        <v>0</v>
      </c>
      <c r="W19" s="97">
        <f>MIN(
$R19*MAX(F19-V19-MIN(F19,$Q19),0),
MAX(0,$O$32-SUM(W$9:W18)),
MAX(0,$P$32-SUM($U$35:U$35)-SUM(W$9:W18)),
MAX(0,$O$33-SUMPRODUCT($T$9:$T19,V$9:V19)-SUM(W$9:X18)),
MAX(0,$P$33-SUM($U$33:U$33)-SUMPRODUCT($T$9:$T19,V$9:V19)-SUM(W$9:X18))
)</f>
        <v>0</v>
      </c>
      <c r="X19" s="97">
        <f>MIN(
$S19*MAX(F19-$Q19-V19-W19,0),
MAX(0,$O$33-SUMPRODUCT($T$9:$T19,V$9:V19)-SUM(W$9:W19)-SUM(X$9:X18)),
MAX(0,$P$33-SUM($U$33:U$33)-SUMPRODUCT($T$9:$T19,V$9:V19)-SUM(W$9:W19)-SUM(X$9:X18))
)</f>
        <v>0</v>
      </c>
      <c r="Y19" s="97">
        <f>IF(H19=0,0,
MIN(
$O19*MAX(H19-CEILING($Q19+$P19*MIN($O$32-SUM(Z$9:Z18),$P$32-SUM(Z$9:Z18,$U$35:X$35))/(I19/H19),1),0),
MAX(0,$O$33-SUMPRODUCT($T$9:$T18,Y$9:Y18)-SUM(Z$9:AA18)),
MAX(0,$P$33-SUM($U$33:X$33)-SUMPRODUCT($T$9:$T18,Y$9:Y18)-SUM(Z$9:AA18))
)
)</f>
        <v>0</v>
      </c>
      <c r="Z19" s="97">
        <f>MIN(
$R19*MAX(I19-Y19-MIN(I19,$Q19),0),
MAX(0,$O$32-SUM(Z$9:Z18)),
MAX(0,$P$32-SUM($U$35:X$35)-SUM(Z$9:Z18)),
MAX(0,$O$33-SUMPRODUCT($T$9:$T19,Y$9:Y19)-SUM(Z$9:AA18)),
MAX(0,$P$33-SUM($U$33:X$33)-SUMPRODUCT($T$9:$T19,Y$9:Y19)-SUM(Z$9:AA18))
)</f>
        <v>0</v>
      </c>
      <c r="AA19" s="97">
        <f>MIN(
$S19*MAX(I19-$Q19-Y19-Z19,0),
MAX(0,$O$33-SUMPRODUCT($T$9:$T19,Y$9:Y19)-SUM(Z$9:Z19)-SUM(AA$9:AA18)),
MAX(0,$P$33-SUM($U$33:X$33)-SUMPRODUCT($T$9:$T19,Y$9:Y19)-SUM(Z$9:Z19)-SUM(AA$9:AA18))
)</f>
        <v>0</v>
      </c>
      <c r="AB19" s="97">
        <f>IF(K19=0,0,
MIN(
$O19*MAX(K19-CEILING($Q19+$P19*MIN($O$32-SUM(AC$9:AC18),$P$32-SUM(AC$9:AC18,$U$35:AA$35))/(L19/K19),1),0),
MAX(0,$O$33-SUMPRODUCT($T$9:$T18,AB$9:AB18)-SUM(AC$9:AD18)),
MAX(0,$P$33-SUM($U$33:AA$33)-SUMPRODUCT($T$9:$T18,AB$9:AB18)-SUM(AC$9:AD18))
)
)</f>
        <v>0</v>
      </c>
      <c r="AC19" s="97">
        <f>MIN(
$R19*MAX(L19-AB19-MIN(L19,$Q19),0),
MAX(0,$O$32-SUM(AC$9:AC18)),
MAX(0,$P$32-SUM($U$35:AA$35)-SUM(AC$9:AC18)),
MAX(0,$O$33-SUMPRODUCT($T$9:$T19,AB$9:AB19)-SUM(AC$9:AD18)),
MAX(0,$P$33-SUM($U$33:AA$33)-SUMPRODUCT($T$9:$T19,AB$9:AB19)-SUM(AC$9:AD18))
)</f>
        <v>0</v>
      </c>
      <c r="AD19" s="97">
        <f>MIN(
$S19*MAX(L19-$Q19-AB19-AC19,0),
MAX(0,$O$33-SUMPRODUCT($T$9:$T19,AB$9:AB19)-SUM(AC$9:AC19)-SUM(AD$9:AD18)),
MAX(0,$P$33-SUM($U$33:AA$33)-SUMPRODUCT($T$9:$T19,AB$9:AB19)-SUM(AC$9:AC19)-SUM(AD$9:AD18))
)</f>
        <v>0</v>
      </c>
      <c r="AE19" s="97">
        <f t="shared" si="14"/>
        <v>0</v>
      </c>
    </row>
    <row r="20" spans="1:31" s="66" customFormat="1" ht="17.100000000000001" customHeight="1">
      <c r="A20" s="92" t="s">
        <v>214</v>
      </c>
      <c r="B20" s="90">
        <f>'Cost Estimator'!F30</f>
        <v>0</v>
      </c>
      <c r="C20" s="91">
        <f>B20*Asmpt!$B28</f>
        <v>0</v>
      </c>
      <c r="E20" s="90">
        <f t="shared" si="11"/>
        <v>0</v>
      </c>
      <c r="F20" s="91">
        <f t="shared" si="0"/>
        <v>0</v>
      </c>
      <c r="G20" s="92"/>
      <c r="H20" s="90">
        <f t="shared" si="12"/>
        <v>0</v>
      </c>
      <c r="I20" s="91">
        <f t="shared" si="1"/>
        <v>0</v>
      </c>
      <c r="J20" s="92"/>
      <c r="K20" s="93">
        <f t="shared" si="15"/>
        <v>0</v>
      </c>
      <c r="L20" s="91">
        <f t="shared" si="3"/>
        <v>0</v>
      </c>
      <c r="N20" s="66" t="str">
        <f t="shared" si="4"/>
        <v>Non-Preferred Specialty</v>
      </c>
      <c r="O20" s="94">
        <f>Asmpt!$D$118</f>
        <v>0</v>
      </c>
      <c r="P20" s="95">
        <f>Asmpt!$D$119</f>
        <v>0</v>
      </c>
      <c r="Q20" s="94">
        <f>Asmpt!$D$120</f>
        <v>0</v>
      </c>
      <c r="R20" s="95">
        <f>Asmpt!$D$121</f>
        <v>1</v>
      </c>
      <c r="S20" s="96">
        <f>IF(Asmpt!$D$122=0,0,Asmpt!$D$47)</f>
        <v>0.2</v>
      </c>
      <c r="T20" s="89">
        <f>Asmpt!$D$51</f>
        <v>1</v>
      </c>
      <c r="U20" s="93"/>
      <c r="V20" s="97">
        <f>IF(E20=0,0,
MIN(
$O20*MAX(E20-CEILING($Q20+$P20*MIN($O$32-SUM(W$9:W19),$P$32-SUM(W$9:W19,$U$35:U$35))/(F20/E20),1),0),
MAX(0,$O$33-SUMPRODUCT($T$9:$T19,V$9:V19)-SUM(W$9:X19)),
MAX(0,$P$33-SUM($U$33:U$33)-SUMPRODUCT($T$9:$T19,V$9:V19)-SUM(W$9:X19))
)
)</f>
        <v>0</v>
      </c>
      <c r="W20" s="97">
        <f>MIN(
$R20*MAX(F20-V20-MIN(F20,$Q20),0),
MAX(0,$O$32-SUM(W$9:W19)),
MAX(0,$P$32-SUM($U$35:U$35)-SUM(W$9:W19)),
MAX(0,$O$33-SUMPRODUCT($T$9:$T20,V$9:V20)-SUM(W$9:X19)),
MAX(0,$P$33-SUM($U$33:U$33)-SUMPRODUCT($T$9:$T20,V$9:V20)-SUM(W$9:X19))
)</f>
        <v>0</v>
      </c>
      <c r="X20" s="97">
        <f>MIN(
$S20*MAX(F20-$Q20-V20-W20,0),
MAX(0,$O$33-SUMPRODUCT($T$9:$T20,V$9:V20)-SUM(W$9:W20)-SUM(X$9:X19)),
MAX(0,$P$33-SUM($U$33:U$33)-SUMPRODUCT($T$9:$T20,V$9:V20)-SUM(W$9:W20)-SUM(X$9:X19))
)</f>
        <v>0</v>
      </c>
      <c r="Y20" s="97">
        <f>IF(H20=0,0,
MIN(
$O20*MAX(H20-CEILING($Q20+$P20*MIN($O$32-SUM(Z$9:Z19),$P$32-SUM(Z$9:Z19,$U$35:X$35))/(I20/H20),1),0),
MAX(0,$O$33-SUMPRODUCT($T$9:$T19,Y$9:Y19)-SUM(Z$9:AA19)),
MAX(0,$P$33-SUM($U$33:X$33)-SUMPRODUCT($T$9:$T19,Y$9:Y19)-SUM(Z$9:AA19))
)
)</f>
        <v>0</v>
      </c>
      <c r="Z20" s="97">
        <f>MIN(
$R20*MAX(I20-Y20-MIN(I20,$Q20),0),
MAX(0,$O$32-SUM(Z$9:Z19)),
MAX(0,$P$32-SUM($U$35:X$35)-SUM(Z$9:Z19)),
MAX(0,$O$33-SUMPRODUCT($T$9:$T20,Y$9:Y20)-SUM(Z$9:AA19)),
MAX(0,$P$33-SUM($U$33:X$33)-SUMPRODUCT($T$9:$T20,Y$9:Y20)-SUM(Z$9:AA19))
)</f>
        <v>0</v>
      </c>
      <c r="AA20" s="97">
        <f>MIN(
$S20*MAX(I20-$Q20-Y20-Z20,0),
MAX(0,$O$33-SUMPRODUCT($T$9:$T20,Y$9:Y20)-SUM(Z$9:Z20)-SUM(AA$9:AA19)),
MAX(0,$P$33-SUM($U$33:X$33)-SUMPRODUCT($T$9:$T20,Y$9:Y20)-SUM(Z$9:Z20)-SUM(AA$9:AA19))
)</f>
        <v>0</v>
      </c>
      <c r="AB20" s="97">
        <f>IF(K20=0,0,
MIN(
$O20*MAX(K20-CEILING($Q20+$P20*MIN($O$32-SUM(AC$9:AC19),$P$32-SUM(AC$9:AC19,$U$35:AA$35))/(L20/K20),1),0),
MAX(0,$O$33-SUMPRODUCT($T$9:$T19,AB$9:AB19)-SUM(AC$9:AD19)),
MAX(0,$P$33-SUM($U$33:AA$33)-SUMPRODUCT($T$9:$T19,AB$9:AB19)-SUM(AC$9:AD19))
)
)</f>
        <v>0</v>
      </c>
      <c r="AC20" s="97">
        <f>MIN(
$R20*MAX(L20-AB20-MIN(L20,$Q20),0),
MAX(0,$O$32-SUM(AC$9:AC19)),
MAX(0,$P$32-SUM($U$35:AA$35)-SUM(AC$9:AC19)),
MAX(0,$O$33-SUMPRODUCT($T$9:$T20,AB$9:AB20)-SUM(AC$9:AD19)),
MAX(0,$P$33-SUM($U$33:AA$33)-SUMPRODUCT($T$9:$T20,AB$9:AB20)-SUM(AC$9:AD19))
)</f>
        <v>0</v>
      </c>
      <c r="AD20" s="97">
        <f>MIN(
$S20*MAX(L20-$Q20-AB20-AC20,0),
MAX(0,$O$33-SUMPRODUCT($T$9:$T20,AB$9:AB20)-SUM(AC$9:AC20)-SUM(AD$9:AD19)),
MAX(0,$P$33-SUM($U$33:AA$33)-SUMPRODUCT($T$9:$T20,AB$9:AB20)-SUM(AC$9:AC20)-SUM(AD$9:AD19))
)</f>
        <v>0</v>
      </c>
      <c r="AE20" s="97">
        <f t="shared" si="14"/>
        <v>0</v>
      </c>
    </row>
    <row r="21" spans="1:31" s="66" customFormat="1" ht="17.100000000000001" customHeight="1">
      <c r="A21" s="92" t="s">
        <v>217</v>
      </c>
      <c r="B21" s="90">
        <f>'Cost Estimator'!G23</f>
        <v>0</v>
      </c>
      <c r="C21" s="91">
        <f>B21*Asmpt!$B29</f>
        <v>0</v>
      </c>
      <c r="E21" s="90">
        <f t="shared" si="11"/>
        <v>0</v>
      </c>
      <c r="F21" s="91">
        <f t="shared" si="0"/>
        <v>0</v>
      </c>
      <c r="G21" s="92"/>
      <c r="H21" s="90">
        <f t="shared" si="12"/>
        <v>0</v>
      </c>
      <c r="I21" s="91">
        <f t="shared" si="1"/>
        <v>0</v>
      </c>
      <c r="J21" s="92"/>
      <c r="K21" s="93">
        <f t="shared" si="15"/>
        <v>0</v>
      </c>
      <c r="L21" s="91">
        <f t="shared" si="3"/>
        <v>0</v>
      </c>
      <c r="N21" s="66" t="str">
        <f t="shared" si="4"/>
        <v>Mail Order Preferred Generic</v>
      </c>
      <c r="O21" s="94">
        <f>Asmpt!$D$124</f>
        <v>0</v>
      </c>
      <c r="P21" s="95">
        <f>Asmpt!$D$125</f>
        <v>0</v>
      </c>
      <c r="Q21" s="94">
        <f>Asmpt!$D$126</f>
        <v>0</v>
      </c>
      <c r="R21" s="95">
        <f>Asmpt!$D$127</f>
        <v>1</v>
      </c>
      <c r="S21" s="96">
        <f>IF(Asmpt!$D$128=0,0,Asmpt!$D$47)</f>
        <v>0.2</v>
      </c>
      <c r="T21" s="89">
        <f>Asmpt!$D$51</f>
        <v>1</v>
      </c>
      <c r="U21" s="93"/>
      <c r="V21" s="97">
        <f>IF(E21=0,0,
MIN(
$O21*MAX(E21-CEILING($Q21+$P21*MIN($O$32-SUM(W$9:W20),$P$32-SUM(W$9:W20,$U$35:U$35))/(F21/E21),1),0),
MAX(0,$O$33-SUMPRODUCT($T$9:$T20,V$9:V20)-SUM(W$9:X20)),
MAX(0,$P$33-SUM($U$33:U$33)-SUMPRODUCT($T$9:$T20,V$9:V20)-SUM(W$9:X20))
)
)</f>
        <v>0</v>
      </c>
      <c r="W21" s="97">
        <f>MIN(
$R21*MAX(F21-V21-MIN(F21,$Q21),0),
MAX(0,$O$32-SUM(W$9:W20)),
MAX(0,$P$32-SUM($U$35:U$35)-SUM(W$9:W20)),
MAX(0,$O$33-SUMPRODUCT($T$9:$T21,V$9:V21)-SUM(W$9:X20)),
MAX(0,$P$33-SUM($U$33:U$33)-SUMPRODUCT($T$9:$T21,V$9:V21)-SUM(W$9:X20))
)</f>
        <v>0</v>
      </c>
      <c r="X21" s="97">
        <f>MIN(
$S21*MAX(F21-$Q21-V21-W21,0),
MAX(0,$O$33-SUMPRODUCT($T$9:$T21,V$9:V21)-SUM(W$9:W21)-SUM(X$9:X20)),
MAX(0,$P$33-SUM($U$33:U$33)-SUMPRODUCT($T$9:$T21,V$9:V21)-SUM(W$9:W21)-SUM(X$9:X20))
)</f>
        <v>0</v>
      </c>
      <c r="Y21" s="97">
        <f>IF(H21=0,0,
MIN(
$O21*MAX(H21-CEILING($Q21+$P21*MIN($O$32-SUM(Z$9:Z20),$P$32-SUM(Z$9:Z20,$U$35:X$35))/(I21/H21),1),0),
MAX(0,$O$33-SUMPRODUCT($T$9:$T20,Y$9:Y20)-SUM(Z$9:AA20)),
MAX(0,$P$33-SUM($U$33:X$33)-SUMPRODUCT($T$9:$T20,Y$9:Y20)-SUM(Z$9:AA20))
)
)</f>
        <v>0</v>
      </c>
      <c r="Z21" s="97">
        <f>MIN(
$R21*MAX(I21-Y21-MIN(I21,$Q21),0),
MAX(0,$O$32-SUM(Z$9:Z20)),
MAX(0,$P$32-SUM($U$35:X$35)-SUM(Z$9:Z20)),
MAX(0,$O$33-SUMPRODUCT($T$9:$T21,Y$9:Y21)-SUM(Z$9:AA20)),
MAX(0,$P$33-SUM($U$33:X$33)-SUMPRODUCT($T$9:$T21,Y$9:Y21)-SUM(Z$9:AA20))
)</f>
        <v>0</v>
      </c>
      <c r="AA21" s="97">
        <f>MIN(
$S21*MAX(I21-$Q21-Y21-Z21,0),
MAX(0,$O$33-SUMPRODUCT($T$9:$T21,Y$9:Y21)-SUM(Z$9:Z21)-SUM(AA$9:AA20)),
MAX(0,$P$33-SUM($U$33:X$33)-SUMPRODUCT($T$9:$T21,Y$9:Y21)-SUM(Z$9:Z21)-SUM(AA$9:AA20))
)</f>
        <v>0</v>
      </c>
      <c r="AB21" s="97">
        <f>IF(K21=0,0,
MIN(
$O21*MAX(K21-CEILING($Q21+$P21*MIN($O$32-SUM(AC$9:AC20),$P$32-SUM(AC$9:AC20,$U$35:AA$35))/(L21/K21),1),0),
MAX(0,$O$33-SUMPRODUCT($T$9:$T20,AB$9:AB20)-SUM(AC$9:AD20)),
MAX(0,$P$33-SUM($U$33:AA$33)-SUMPRODUCT($T$9:$T20,AB$9:AB20)-SUM(AC$9:AD20))
)
)</f>
        <v>0</v>
      </c>
      <c r="AC21" s="97">
        <f>MIN(
$R21*MAX(L21-AB21-MIN(L21,$Q21),0),
MAX(0,$O$32-SUM(AC$9:AC20)),
MAX(0,$P$32-SUM($U$35:AA$35)-SUM(AC$9:AC20)),
MAX(0,$O$33-SUMPRODUCT($T$9:$T21,AB$9:AB21)-SUM(AC$9:AD20)),
MAX(0,$P$33-SUM($U$33:AA$33)-SUMPRODUCT($T$9:$T21,AB$9:AB21)-SUM(AC$9:AD20))
)</f>
        <v>0</v>
      </c>
      <c r="AD21" s="97">
        <f>MIN(
$S21*MAX(L21-$Q21-AB21-AC21,0),
MAX(0,$O$33-SUMPRODUCT($T$9:$T21,AB$9:AB21)-SUM(AC$9:AC21)-SUM(AD$9:AD20)),
MAX(0,$P$33-SUM($U$33:AA$33)-SUMPRODUCT($T$9:$T21,AB$9:AB21)-SUM(AC$9:AC21)-SUM(AD$9:AD20))
)</f>
        <v>0</v>
      </c>
      <c r="AE21" s="97">
        <f t="shared" si="14"/>
        <v>0</v>
      </c>
    </row>
    <row r="22" spans="1:31" s="66" customFormat="1" ht="17.100000000000001" customHeight="1">
      <c r="A22" s="92" t="s">
        <v>218</v>
      </c>
      <c r="B22" s="90">
        <f>'Cost Estimator'!G24</f>
        <v>0</v>
      </c>
      <c r="C22" s="91">
        <f>B22*Asmpt!$B30</f>
        <v>0</v>
      </c>
      <c r="E22" s="90">
        <f t="shared" si="11"/>
        <v>0</v>
      </c>
      <c r="F22" s="91">
        <f t="shared" si="0"/>
        <v>0</v>
      </c>
      <c r="G22" s="92"/>
      <c r="H22" s="90">
        <f t="shared" si="12"/>
        <v>0</v>
      </c>
      <c r="I22" s="91">
        <f t="shared" si="1"/>
        <v>0</v>
      </c>
      <c r="J22" s="92"/>
      <c r="K22" s="93">
        <f t="shared" si="15"/>
        <v>0</v>
      </c>
      <c r="L22" s="91">
        <f t="shared" si="3"/>
        <v>0</v>
      </c>
      <c r="N22" s="66" t="str">
        <f t="shared" si="4"/>
        <v>Mail Order Non-Preferred Generic</v>
      </c>
      <c r="O22" s="94">
        <f>Asmpt!$D$130</f>
        <v>0</v>
      </c>
      <c r="P22" s="95">
        <f>Asmpt!$D$131</f>
        <v>0</v>
      </c>
      <c r="Q22" s="94">
        <f>Asmpt!$D$132</f>
        <v>0</v>
      </c>
      <c r="R22" s="95">
        <f>Asmpt!$D$133</f>
        <v>1</v>
      </c>
      <c r="S22" s="96">
        <f>IF(Asmpt!$D$134=0,0,Asmpt!$D$47)</f>
        <v>0.2</v>
      </c>
      <c r="T22" s="89">
        <f>Asmpt!$D$51</f>
        <v>1</v>
      </c>
      <c r="U22" s="93"/>
      <c r="V22" s="97">
        <f>IF(E22=0,0,
MIN(
$O22*MAX(E22-CEILING($Q22+$P22*MIN($O$32-SUM(W$9:W21),$P$32-SUM(W$9:W21,$U$35:U$35))/(F22/E22),1),0),
MAX(0,$O$33-SUMPRODUCT($T$9:$T21,V$9:V21)-SUM(W$9:X21)),
MAX(0,$P$33-SUM($U$33:U$33)-SUMPRODUCT($T$9:$T21,V$9:V21)-SUM(W$9:X21))
)
)</f>
        <v>0</v>
      </c>
      <c r="W22" s="97">
        <f>MIN(
$R22*MAX(F22-V22-MIN(F22,$Q22),0),
MAX(0,$O$32-SUM(W$9:W21)),
MAX(0,$P$32-SUM($U$35:U$35)-SUM(W$9:W21)),
MAX(0,$O$33-SUMPRODUCT($T$9:$T22,V$9:V22)-SUM(W$9:X21)),
MAX(0,$P$33-SUM($U$33:U$33)-SUMPRODUCT($T$9:$T22,V$9:V22)-SUM(W$9:X21))
)</f>
        <v>0</v>
      </c>
      <c r="X22" s="97">
        <f>MIN(
$S22*MAX(F22-$Q22-V22-W22,0),
MAX(0,$O$33-SUMPRODUCT($T$9:$T22,V$9:V22)-SUM(W$9:W22)-SUM(X$9:X21)),
MAX(0,$P$33-SUM($U$33:U$33)-SUMPRODUCT($T$9:$T22,V$9:V22)-SUM(W$9:W22)-SUM(X$9:X21))
)</f>
        <v>0</v>
      </c>
      <c r="Y22" s="97">
        <f>IF(H22=0,0,
MIN(
$O22*MAX(H22-CEILING($Q22+$P22*MIN($O$32-SUM(Z$9:Z21),$P$32-SUM(Z$9:Z21,$U$35:X$35))/(I22/H22),1),0),
MAX(0,$O$33-SUMPRODUCT($T$9:$T21,Y$9:Y21)-SUM(Z$9:AA21)),
MAX(0,$P$33-SUM($U$33:X$33)-SUMPRODUCT($T$9:$T21,Y$9:Y21)-SUM(Z$9:AA21))
)
)</f>
        <v>0</v>
      </c>
      <c r="Z22" s="97">
        <f>MIN(
$R22*MAX(I22-Y22-MIN(I22,$Q22),0),
MAX(0,$O$32-SUM(Z$9:Z21)),
MAX(0,$P$32-SUM($U$35:X$35)-SUM(Z$9:Z21)),
MAX(0,$O$33-SUMPRODUCT($T$9:$T22,Y$9:Y22)-SUM(Z$9:AA21)),
MAX(0,$P$33-SUM($U$33:X$33)-SUMPRODUCT($T$9:$T22,Y$9:Y22)-SUM(Z$9:AA21))
)</f>
        <v>0</v>
      </c>
      <c r="AA22" s="97">
        <f>MIN(
$S22*MAX(I22-$Q22-Y22-Z22,0),
MAX(0,$O$33-SUMPRODUCT($T$9:$T22,Y$9:Y22)-SUM(Z$9:Z22)-SUM(AA$9:AA21)),
MAX(0,$P$33-SUM($U$33:X$33)-SUMPRODUCT($T$9:$T22,Y$9:Y22)-SUM(Z$9:Z22)-SUM(AA$9:AA21))
)</f>
        <v>0</v>
      </c>
      <c r="AB22" s="97">
        <f>IF(K22=0,0,
MIN(
$O22*MAX(K22-CEILING($Q22+$P22*MIN($O$32-SUM(AC$9:AC21),$P$32-SUM(AC$9:AC21,$U$35:AA$35))/(L22/K22),1),0),
MAX(0,$O$33-SUMPRODUCT($T$9:$T21,AB$9:AB21)-SUM(AC$9:AD21)),
MAX(0,$P$33-SUM($U$33:AA$33)-SUMPRODUCT($T$9:$T21,AB$9:AB21)-SUM(AC$9:AD21))
)
)</f>
        <v>0</v>
      </c>
      <c r="AC22" s="97">
        <f>MIN(
$R22*MAX(L22-AB22-MIN(L22,$Q22),0),
MAX(0,$O$32-SUM(AC$9:AC21)),
MAX(0,$P$32-SUM($U$35:AA$35)-SUM(AC$9:AC21)),
MAX(0,$O$33-SUMPRODUCT($T$9:$T22,AB$9:AB22)-SUM(AC$9:AD21)),
MAX(0,$P$33-SUM($U$33:AA$33)-SUMPRODUCT($T$9:$T22,AB$9:AB22)-SUM(AC$9:AD21))
)</f>
        <v>0</v>
      </c>
      <c r="AD22" s="97">
        <f>MIN(
$S22*MAX(L22-$Q22-AB22-AC22,0),
MAX(0,$O$33-SUMPRODUCT($T$9:$T22,AB$9:AB22)-SUM(AC$9:AC22)-SUM(AD$9:AD21)),
MAX(0,$P$33-SUM($U$33:AA$33)-SUMPRODUCT($T$9:$T22,AB$9:AB22)-SUM(AC$9:AC22)-SUM(AD$9:AD21))
)</f>
        <v>0</v>
      </c>
      <c r="AE22" s="97">
        <f t="shared" si="14"/>
        <v>0</v>
      </c>
    </row>
    <row r="23" spans="1:31" s="66" customFormat="1" ht="17.100000000000001" customHeight="1">
      <c r="A23" s="92" t="s">
        <v>114</v>
      </c>
      <c r="B23" s="90">
        <f>'Cost Estimator'!G25</f>
        <v>0</v>
      </c>
      <c r="C23" s="91">
        <f>B23*Asmpt!$B31</f>
        <v>0</v>
      </c>
      <c r="E23" s="90">
        <f t="shared" si="11"/>
        <v>0</v>
      </c>
      <c r="F23" s="91">
        <f t="shared" si="0"/>
        <v>0</v>
      </c>
      <c r="G23" s="92"/>
      <c r="H23" s="90">
        <f t="shared" si="12"/>
        <v>0</v>
      </c>
      <c r="I23" s="91">
        <f t="shared" si="1"/>
        <v>0</v>
      </c>
      <c r="J23" s="92"/>
      <c r="K23" s="93">
        <f t="shared" si="15"/>
        <v>0</v>
      </c>
      <c r="L23" s="91">
        <f t="shared" si="3"/>
        <v>0</v>
      </c>
      <c r="N23" s="66" t="str">
        <f t="shared" si="4"/>
        <v>Mail Order Preferred Brand</v>
      </c>
      <c r="O23" s="94">
        <f>Asmpt!$D$136</f>
        <v>0</v>
      </c>
      <c r="P23" s="95">
        <f>Asmpt!$D$137</f>
        <v>0</v>
      </c>
      <c r="Q23" s="94">
        <f>Asmpt!$D$138</f>
        <v>0</v>
      </c>
      <c r="R23" s="95">
        <f>Asmpt!$D$139</f>
        <v>1</v>
      </c>
      <c r="S23" s="96">
        <f>IF(Asmpt!$D$140=0,0,Asmpt!$D$47)</f>
        <v>0.2</v>
      </c>
      <c r="T23" s="89">
        <f>Asmpt!$D$51</f>
        <v>1</v>
      </c>
      <c r="U23" s="93"/>
      <c r="V23" s="97">
        <f>IF(E23=0,0,
MIN(
$O23*MAX(E23-CEILING($Q23+$P23*MIN($O$32-SUM(W$9:W22),$P$32-SUM(W$9:W22,$U$35:U$35))/(F23/E23),1),0),
MAX(0,$O$33-SUMPRODUCT($T$9:$T22,V$9:V22)-SUM(W$9:X22)),
MAX(0,$P$33-SUM($U$33:U$33)-SUMPRODUCT($T$9:$T22,V$9:V22)-SUM(W$9:X22))
)
)</f>
        <v>0</v>
      </c>
      <c r="W23" s="97">
        <f>MIN(
$R23*MAX(F23-V23-MIN(F23,$Q23),0),
MAX(0,$O$32-SUM(W$9:W22)),
MAX(0,$P$32-SUM($U$35:U$35)-SUM(W$9:W22)),
MAX(0,$O$33-SUMPRODUCT($T$9:$T23,V$9:V23)-SUM(W$9:X22)),
MAX(0,$P$33-SUM($U$33:U$33)-SUMPRODUCT($T$9:$T23,V$9:V23)-SUM(W$9:X22))
)</f>
        <v>0</v>
      </c>
      <c r="X23" s="97">
        <f>MIN(
$S23*MAX(F23-$Q23-V23-W23,0),
MAX(0,$O$33-SUMPRODUCT($T$9:$T23,V$9:V23)-SUM(W$9:W23)-SUM(X$9:X22)),
MAX(0,$P$33-SUM($U$33:U$33)-SUMPRODUCT($T$9:$T23,V$9:V23)-SUM(W$9:W23)-SUM(X$9:X22))
)</f>
        <v>0</v>
      </c>
      <c r="Y23" s="97">
        <f>IF(H23=0,0,
MIN(
$O23*MAX(H23-CEILING($Q23+$P23*MIN($O$32-SUM(Z$9:Z22),$P$32-SUM(Z$9:Z22,$U$35:X$35))/(I23/H23),1),0),
MAX(0,$O$33-SUMPRODUCT($T$9:$T22,Y$9:Y22)-SUM(Z$9:AA22)),
MAX(0,$P$33-SUM($U$33:X$33)-SUMPRODUCT($T$9:$T22,Y$9:Y22)-SUM(Z$9:AA22))
)
)</f>
        <v>0</v>
      </c>
      <c r="Z23" s="97">
        <f>MIN(
$R23*MAX(I23-Y23-MIN(I23,$Q23),0),
MAX(0,$O$32-SUM(Z$9:Z22)),
MAX(0,$P$32-SUM($U$35:X$35)-SUM(Z$9:Z22)),
MAX(0,$O$33-SUMPRODUCT($T$9:$T23,Y$9:Y23)-SUM(Z$9:AA22)),
MAX(0,$P$33-SUM($U$33:X$33)-SUMPRODUCT($T$9:$T23,Y$9:Y23)-SUM(Z$9:AA22))
)</f>
        <v>0</v>
      </c>
      <c r="AA23" s="97">
        <f>MIN(
$S23*MAX(I23-$Q23-Y23-Z23,0),
MAX(0,$O$33-SUMPRODUCT($T$9:$T23,Y$9:Y23)-SUM(Z$9:Z23)-SUM(AA$9:AA22)),
MAX(0,$P$33-SUM($U$33:X$33)-SUMPRODUCT($T$9:$T23,Y$9:Y23)-SUM(Z$9:Z23)-SUM(AA$9:AA22))
)</f>
        <v>0</v>
      </c>
      <c r="AB23" s="97">
        <f>IF(K23=0,0,
MIN(
$O23*MAX(K23-CEILING($Q23+$P23*MIN($O$32-SUM(AC$9:AC22),$P$32-SUM(AC$9:AC22,$U$35:AA$35))/(L23/K23),1),0),
MAX(0,$O$33-SUMPRODUCT($T$9:$T22,AB$9:AB22)-SUM(AC$9:AD22)),
MAX(0,$P$33-SUM($U$33:AA$33)-SUMPRODUCT($T$9:$T22,AB$9:AB22)-SUM(AC$9:AD22))
)
)</f>
        <v>0</v>
      </c>
      <c r="AC23" s="97">
        <f>MIN(
$R23*MAX(L23-AB23-MIN(L23,$Q23),0),
MAX(0,$O$32-SUM(AC$9:AC22)),
MAX(0,$P$32-SUM($U$35:AA$35)-SUM(AC$9:AC22)),
MAX(0,$O$33-SUMPRODUCT($T$9:$T23,AB$9:AB23)-SUM(AC$9:AD22)),
MAX(0,$P$33-SUM($U$33:AA$33)-SUMPRODUCT($T$9:$T23,AB$9:AB23)-SUM(AC$9:AD22))
)</f>
        <v>0</v>
      </c>
      <c r="AD23" s="97">
        <f>MIN(
$S23*MAX(L23-$Q23-AB23-AC23,0),
MAX(0,$O$33-SUMPRODUCT($T$9:$T23,AB$9:AB23)-SUM(AC$9:AC23)-SUM(AD$9:AD22)),
MAX(0,$P$33-SUM($U$33:AA$33)-SUMPRODUCT($T$9:$T23,AB$9:AB23)-SUM(AC$9:AC23)-SUM(AD$9:AD22))
)</f>
        <v>0</v>
      </c>
      <c r="AE23" s="97">
        <f t="shared" si="14"/>
        <v>0</v>
      </c>
    </row>
    <row r="24" spans="1:31" s="66" customFormat="1" ht="17.100000000000001" customHeight="1">
      <c r="A24" s="92" t="s">
        <v>115</v>
      </c>
      <c r="B24" s="90">
        <f>'Cost Estimator'!G26</f>
        <v>0</v>
      </c>
      <c r="C24" s="91">
        <f>B24*Asmpt!$B32</f>
        <v>0</v>
      </c>
      <c r="E24" s="90">
        <f t="shared" si="11"/>
        <v>0</v>
      </c>
      <c r="F24" s="91">
        <f t="shared" si="0"/>
        <v>0</v>
      </c>
      <c r="G24" s="92"/>
      <c r="H24" s="90">
        <f t="shared" si="12"/>
        <v>0</v>
      </c>
      <c r="I24" s="91">
        <f t="shared" si="1"/>
        <v>0</v>
      </c>
      <c r="J24" s="92"/>
      <c r="K24" s="93">
        <f t="shared" si="15"/>
        <v>0</v>
      </c>
      <c r="L24" s="91">
        <f t="shared" si="3"/>
        <v>0</v>
      </c>
      <c r="N24" s="66" t="str">
        <f t="shared" si="4"/>
        <v>Mail Order Non-Preferred Brand</v>
      </c>
      <c r="O24" s="94">
        <f>Asmpt!$D$142</f>
        <v>0</v>
      </c>
      <c r="P24" s="95">
        <f>Asmpt!$D$143</f>
        <v>0</v>
      </c>
      <c r="Q24" s="94">
        <f>Asmpt!$D$144</f>
        <v>0</v>
      </c>
      <c r="R24" s="95">
        <f>Asmpt!$D$145</f>
        <v>1</v>
      </c>
      <c r="S24" s="96">
        <f>IF(Asmpt!$D$146=0,0,Asmpt!$D$47)</f>
        <v>0.2</v>
      </c>
      <c r="T24" s="89">
        <f>Asmpt!$D$51</f>
        <v>1</v>
      </c>
      <c r="U24" s="93"/>
      <c r="V24" s="97">
        <f>IF(E24=0,0,
MIN(
$O24*MAX(E24-CEILING($Q24+$P24*MIN($O$32-SUM(W$9:W23),$P$32-SUM(W$9:W23,$U$35:U$35))/(F24/E24),1),0),
MAX(0,$O$33-SUMPRODUCT($T$9:$T23,V$9:V23)-SUM(W$9:X23)),
MAX(0,$P$33-SUM($U$33:U$33)-SUMPRODUCT($T$9:$T23,V$9:V23)-SUM(W$9:X23))
)
)</f>
        <v>0</v>
      </c>
      <c r="W24" s="97">
        <f>MIN(
$R24*MAX(F24-V24-MIN(F24,$Q24),0),
MAX(0,$O$32-SUM(W$9:W23)),
MAX(0,$P$32-SUM($U$35:U$35)-SUM(W$9:W23)),
MAX(0,$O$33-SUMPRODUCT($T$9:$T24,V$9:V24)-SUM(W$9:X23)),
MAX(0,$P$33-SUM($U$33:U$33)-SUMPRODUCT($T$9:$T24,V$9:V24)-SUM(W$9:X23))
)</f>
        <v>0</v>
      </c>
      <c r="X24" s="97">
        <f>MIN(
$S24*MAX(F24-$Q24-V24-W24,0),
MAX(0,$O$33-SUMPRODUCT($T$9:$T24,V$9:V24)-SUM(W$9:W24)-SUM(X$9:X23)),
MAX(0,$P$33-SUM($U$33:U$33)-SUMPRODUCT($T$9:$T24,V$9:V24)-SUM(W$9:W24)-SUM(X$9:X23))
)</f>
        <v>0</v>
      </c>
      <c r="Y24" s="97">
        <f>IF(H24=0,0,
MIN(
$O24*MAX(H24-CEILING($Q24+$P24*MIN($O$32-SUM(Z$9:Z23),$P$32-SUM(Z$9:Z23,$U$35:X$35))/(I24/H24),1),0),
MAX(0,$O$33-SUMPRODUCT($T$9:$T23,Y$9:Y23)-SUM(Z$9:AA23)),
MAX(0,$P$33-SUM($U$33:X$33)-SUMPRODUCT($T$9:$T23,Y$9:Y23)-SUM(Z$9:AA23))
)
)</f>
        <v>0</v>
      </c>
      <c r="Z24" s="97">
        <f>MIN(
$R24*MAX(I24-Y24-MIN(I24,$Q24),0),
MAX(0,$O$32-SUM(Z$9:Z23)),
MAX(0,$P$32-SUM($U$35:X$35)-SUM(Z$9:Z23)),
MAX(0,$O$33-SUMPRODUCT($T$9:$T24,Y$9:Y24)-SUM(Z$9:AA23)),
MAX(0,$P$33-SUM($U$33:X$33)-SUMPRODUCT($T$9:$T24,Y$9:Y24)-SUM(Z$9:AA23))
)</f>
        <v>0</v>
      </c>
      <c r="AA24" s="97">
        <f>MIN(
$S24*MAX(I24-$Q24-Y24-Z24,0),
MAX(0,$O$33-SUMPRODUCT($T$9:$T24,Y$9:Y24)-SUM(Z$9:Z24)-SUM(AA$9:AA23)),
MAX(0,$P$33-SUM($U$33:X$33)-SUMPRODUCT($T$9:$T24,Y$9:Y24)-SUM(Z$9:Z24)-SUM(AA$9:AA23))
)</f>
        <v>0</v>
      </c>
      <c r="AB24" s="97">
        <f>IF(K24=0,0,
MIN(
$O24*MAX(K24-CEILING($Q24+$P24*MIN($O$32-SUM(AC$9:AC23),$P$32-SUM(AC$9:AC23,$U$35:AA$35))/(L24/K24),1),0),
MAX(0,$O$33-SUMPRODUCT($T$9:$T23,AB$9:AB23)-SUM(AC$9:AD23)),
MAX(0,$P$33-SUM($U$33:AA$33)-SUMPRODUCT($T$9:$T23,AB$9:AB23)-SUM(AC$9:AD23))
)
)</f>
        <v>0</v>
      </c>
      <c r="AC24" s="97">
        <f>MIN(
$R24*MAX(L24-AB24-MIN(L24,$Q24),0),
MAX(0,$O$32-SUM(AC$9:AC23)),
MAX(0,$P$32-SUM($U$35:AA$35)-SUM(AC$9:AC23)),
MAX(0,$O$33-SUMPRODUCT($T$9:$T24,AB$9:AB24)-SUM(AC$9:AD23)),
MAX(0,$P$33-SUM($U$33:AA$33)-SUMPRODUCT($T$9:$T24,AB$9:AB24)-SUM(AC$9:AD23))
)</f>
        <v>0</v>
      </c>
      <c r="AD24" s="97">
        <f>MIN(
$S24*MAX(L24-$Q24-AB24-AC24,0),
MAX(0,$O$33-SUMPRODUCT($T$9:$T24,AB$9:AB24)-SUM(AC$9:AC24)-SUM(AD$9:AD23)),
MAX(0,$P$33-SUM($U$33:AA$33)-SUMPRODUCT($T$9:$T24,AB$9:AB24)-SUM(AC$9:AC24)-SUM(AD$9:AD23))
)</f>
        <v>0</v>
      </c>
      <c r="AE24" s="97">
        <f t="shared" si="14"/>
        <v>0</v>
      </c>
    </row>
    <row r="25" spans="1:31" s="66" customFormat="1" ht="17.100000000000001" customHeight="1">
      <c r="A25" s="92" t="s">
        <v>116</v>
      </c>
      <c r="B25" s="90">
        <f>'Cost Estimator'!G35</f>
        <v>0</v>
      </c>
      <c r="C25" s="91">
        <f>B25*Asmpt!$B33</f>
        <v>0</v>
      </c>
      <c r="E25" s="90">
        <f t="shared" si="11"/>
        <v>0</v>
      </c>
      <c r="F25" s="91">
        <f t="shared" si="0"/>
        <v>0</v>
      </c>
      <c r="G25" s="92"/>
      <c r="H25" s="90">
        <f t="shared" si="12"/>
        <v>0</v>
      </c>
      <c r="I25" s="91">
        <f t="shared" si="1"/>
        <v>0</v>
      </c>
      <c r="J25" s="92"/>
      <c r="K25" s="93">
        <f t="shared" si="2"/>
        <v>0</v>
      </c>
      <c r="L25" s="91">
        <f t="shared" si="3"/>
        <v>0</v>
      </c>
      <c r="N25" s="66" t="str">
        <f t="shared" si="4"/>
        <v>Lab and X-Ray</v>
      </c>
      <c r="O25" s="94">
        <f>Asmpt!$D$148</f>
        <v>0</v>
      </c>
      <c r="P25" s="95">
        <f>Asmpt!$D$149</f>
        <v>0</v>
      </c>
      <c r="Q25" s="94">
        <f>Asmpt!$D$150</f>
        <v>0</v>
      </c>
      <c r="R25" s="95">
        <f>Asmpt!$D$151</f>
        <v>1</v>
      </c>
      <c r="S25" s="96">
        <f>IF(Asmpt!$D$152=0,0,Asmpt!$D$46)</f>
        <v>0.2</v>
      </c>
      <c r="T25" s="89">
        <f>Asmpt!$D$51</f>
        <v>1</v>
      </c>
      <c r="U25" s="93"/>
      <c r="V25" s="97">
        <f>IF(E25=0,0,
MIN(
$O25*MAX(E25-CEILING($Q25+$P25*MIN($O$32-SUM(W$9:W24),$P$32-SUM(W$9:W24,$U$35:U$35))/(F25/E25),1),0),
MAX(0,$O$33-SUMPRODUCT($T$9:$T24,V$9:V24)-SUM(W$9:X24)),
MAX(0,$P$33-SUM($U$33:U$33)-SUMPRODUCT($T$9:$T24,V$9:V24)-SUM(W$9:X24))
)
)</f>
        <v>0</v>
      </c>
      <c r="W25" s="97">
        <f>MIN(
$R25*MAX(F25-V25-MIN(F25,$Q25),0),
MAX(0,$O$32-SUM(W$9:W24)),
MAX(0,$P$32-SUM($U$35:U$35)-SUM(W$9:W24)),
MAX(0,$O$33-SUMPRODUCT($T$9:$T25,V$9:V25)-SUM(W$9:X24)),
MAX(0,$P$33-SUM($U$33:U$33)-SUMPRODUCT($T$9:$T25,V$9:V25)-SUM(W$9:X24))
)</f>
        <v>0</v>
      </c>
      <c r="X25" s="97">
        <f>MIN(
$S25*MAX(F25-$Q25-V25-W25,0),
MAX(0,$O$33-SUMPRODUCT($T$9:$T25,V$9:V25)-SUM(W$9:W25)-SUM(X$9:X24)),
MAX(0,$P$33-SUM($U$33:U$33)-SUMPRODUCT($T$9:$T25,V$9:V25)-SUM(W$9:W25)-SUM(X$9:X24))
)</f>
        <v>0</v>
      </c>
      <c r="Y25" s="97">
        <f>IF(H25=0,0,
MIN(
$O25*MAX(H25-CEILING($Q25+$P25*MIN($O$32-SUM(Z$9:Z24),$P$32-SUM(Z$9:Z24,$U$35:X$35))/(I25/H25),1),0),
MAX(0,$O$33-SUMPRODUCT($T$9:$T24,Y$9:Y24)-SUM(Z$9:AA24)),
MAX(0,$P$33-SUM($U$33:X$33)-SUMPRODUCT($T$9:$T24,Y$9:Y24)-SUM(Z$9:AA24))
)
)</f>
        <v>0</v>
      </c>
      <c r="Z25" s="97">
        <f>MIN(
$R25*MAX(I25-Y25-MIN(I25,$Q25),0),
MAX(0,$O$32-SUM(Z$9:Z24)),
MAX(0,$P$32-SUM($U$35:X$35)-SUM(Z$9:Z24)),
MAX(0,$O$33-SUMPRODUCT($T$9:$T25,Y$9:Y25)-SUM(Z$9:AA24)),
MAX(0,$P$33-SUM($U$33:X$33)-SUMPRODUCT($T$9:$T25,Y$9:Y25)-SUM(Z$9:AA24))
)</f>
        <v>0</v>
      </c>
      <c r="AA25" s="97">
        <f>MIN(
$S25*MAX(I25-$Q25-Y25-Z25,0),
MAX(0,$O$33-SUMPRODUCT($T$9:$T25,Y$9:Y25)-SUM(Z$9:Z25)-SUM(AA$9:AA24)),
MAX(0,$P$33-SUM($U$33:X$33)-SUMPRODUCT($T$9:$T25,Y$9:Y25)-SUM(Z$9:Z25)-SUM(AA$9:AA24))
)</f>
        <v>0</v>
      </c>
      <c r="AB25" s="97">
        <f>IF(K25=0,0,
MIN(
$O25*MAX(K25-CEILING($Q25+$P25*MIN($O$32-SUM(AC$9:AC24),$P$32-SUM(AC$9:AC24,$U$35:AA$35))/(L25/K25),1),0),
MAX(0,$O$33-SUMPRODUCT($T$9:$T24,AB$9:AB24)-SUM(AC$9:AD24)),
MAX(0,$P$33-SUM($U$33:AA$33)-SUMPRODUCT($T$9:$T24,AB$9:AB24)-SUM(AC$9:AD24))
)
)</f>
        <v>0</v>
      </c>
      <c r="AC25" s="97">
        <f>MIN(
$R25*MAX(L25-AB25-MIN(L25,$Q25),0),
MAX(0,$O$32-SUM(AC$9:AC24)),
MAX(0,$P$32-SUM($U$35:AA$35)-SUM(AC$9:AC24)),
MAX(0,$O$33-SUMPRODUCT($T$9:$T25,AB$9:AB25)-SUM(AC$9:AD24)),
MAX(0,$P$33-SUM($U$33:AA$33)-SUMPRODUCT($T$9:$T25,AB$9:AB25)-SUM(AC$9:AD24))
)</f>
        <v>0</v>
      </c>
      <c r="AD25" s="97">
        <f>MIN(
$S25*MAX(L25-$Q25-AB25-AC25,0),
MAX(0,$O$33-SUMPRODUCT($T$9:$T25,AB$9:AB25)-SUM(AC$9:AC25)-SUM(AD$9:AD24)),
MAX(0,$P$33-SUM($U$33:AA$33)-SUMPRODUCT($T$9:$T25,AB$9:AB25)-SUM(AC$9:AC25)-SUM(AD$9:AD24))
)</f>
        <v>0</v>
      </c>
      <c r="AE25" s="97">
        <f t="shared" si="14"/>
        <v>0</v>
      </c>
    </row>
    <row r="26" spans="1:31" s="66" customFormat="1" ht="17.100000000000001" customHeight="1">
      <c r="A26" s="92" t="s">
        <v>225</v>
      </c>
      <c r="B26" s="90">
        <f>'Cost Estimator'!G36</f>
        <v>0</v>
      </c>
      <c r="C26" s="91">
        <f>B26*Asmpt!$B34</f>
        <v>0</v>
      </c>
      <c r="E26" s="90">
        <f t="shared" si="11"/>
        <v>0</v>
      </c>
      <c r="F26" s="91">
        <f t="shared" si="0"/>
        <v>0</v>
      </c>
      <c r="G26" s="92"/>
      <c r="H26" s="90">
        <f t="shared" si="12"/>
        <v>0</v>
      </c>
      <c r="I26" s="91">
        <f t="shared" si="1"/>
        <v>0</v>
      </c>
      <c r="J26" s="92"/>
      <c r="K26" s="93">
        <f t="shared" si="2"/>
        <v>0</v>
      </c>
      <c r="L26" s="91">
        <f t="shared" si="3"/>
        <v>0</v>
      </c>
      <c r="N26" s="66" t="str">
        <f t="shared" si="4"/>
        <v>Advanced Imaging</v>
      </c>
      <c r="O26" s="94">
        <f>Asmpt!$D$154</f>
        <v>0</v>
      </c>
      <c r="P26" s="95">
        <f>Asmpt!$D$155</f>
        <v>0</v>
      </c>
      <c r="Q26" s="94">
        <f>Asmpt!$D$156</f>
        <v>0</v>
      </c>
      <c r="R26" s="95">
        <f>Asmpt!$D$157</f>
        <v>1</v>
      </c>
      <c r="S26" s="96">
        <f>IF(Asmpt!$D$158=0,0,Asmpt!$D$46)</f>
        <v>0.2</v>
      </c>
      <c r="T26" s="89">
        <f>Asmpt!$D$51</f>
        <v>1</v>
      </c>
      <c r="U26" s="93"/>
      <c r="V26" s="97">
        <f>IF(E26=0,0,
MIN(
$O26*MAX(E26-CEILING($Q26+$P26*MIN($O$32-SUM(W$9:W25),$P$32-SUM(W$9:W25,$U$35:U$35))/(F26/E26),1),0),
MAX(0,$O$33-SUMPRODUCT($T$9:$T25,V$9:V25)-SUM(W$9:X25)),
MAX(0,$P$33-SUM($U$33:U$33)-SUMPRODUCT($T$9:$T25,V$9:V25)-SUM(W$9:X25))
)
)</f>
        <v>0</v>
      </c>
      <c r="W26" s="97">
        <f>MIN(
$R26*MAX(F26-V26-MIN(F26,$Q26),0),
MAX(0,$O$32-SUM(W$9:W25)),
MAX(0,$P$32-SUM($U$35:U$35)-SUM(W$9:W25)),
MAX(0,$O$33-SUMPRODUCT($T$9:$T26,V$9:V26)-SUM(W$9:X25)),
MAX(0,$P$33-SUM($U$33:U$33)-SUMPRODUCT($T$9:$T26,V$9:V26)-SUM(W$9:X25))
)</f>
        <v>0</v>
      </c>
      <c r="X26" s="97">
        <f>MIN(
$S26*MAX(F26-$Q26-V26-W26,0),
MAX(0,$O$33-SUMPRODUCT($T$9:$T26,V$9:V26)-SUM(W$9:W26)-SUM(X$9:X25)),
MAX(0,$P$33-SUM($U$33:U$33)-SUMPRODUCT($T$9:$T26,V$9:V26)-SUM(W$9:W26)-SUM(X$9:X25))
)</f>
        <v>0</v>
      </c>
      <c r="Y26" s="97">
        <f>IF(H26=0,0,
MIN(
$O26*MAX(H26-CEILING($Q26+$P26*MIN($O$32-SUM(Z$9:Z25),$P$32-SUM(Z$9:Z25,$U$35:X$35))/(I26/H26),1),0),
MAX(0,$O$33-SUMPRODUCT($T$9:$T25,Y$9:Y25)-SUM(Z$9:AA25)),
MAX(0,$P$33-SUM($U$33:X$33)-SUMPRODUCT($T$9:$T25,Y$9:Y25)-SUM(Z$9:AA25))
)
)</f>
        <v>0</v>
      </c>
      <c r="Z26" s="97">
        <f>MIN(
$R26*MAX(I26-Y26-MIN(I26,$Q26),0),
MAX(0,$O$32-SUM(Z$9:Z25)),
MAX(0,$P$32-SUM($U$35:X$35)-SUM(Z$9:Z25)),
MAX(0,$O$33-SUMPRODUCT($T$9:$T26,Y$9:Y26)-SUM(Z$9:AA25)),
MAX(0,$P$33-SUM($U$33:X$33)-SUMPRODUCT($T$9:$T26,Y$9:Y26)-SUM(Z$9:AA25))
)</f>
        <v>0</v>
      </c>
      <c r="AA26" s="97">
        <f>MIN(
$S26*MAX(I26-$Q26-Y26-Z26,0),
MAX(0,$O$33-SUMPRODUCT($T$9:$T26,Y$9:Y26)-SUM(Z$9:Z26)-SUM(AA$9:AA25)),
MAX(0,$P$33-SUM($U$33:X$33)-SUMPRODUCT($T$9:$T26,Y$9:Y26)-SUM(Z$9:Z26)-SUM(AA$9:AA25))
)</f>
        <v>0</v>
      </c>
      <c r="AB26" s="97">
        <f>IF(K26=0,0,
MIN(
$O26*MAX(K26-CEILING($Q26+$P26*MIN($O$32-SUM(AC$9:AC25),$P$32-SUM(AC$9:AC25,$U$35:AA$35))/(L26/K26),1),0),
MAX(0,$O$33-SUMPRODUCT($T$9:$T25,AB$9:AB25)-SUM(AC$9:AD25)),
MAX(0,$P$33-SUM($U$33:AA$33)-SUMPRODUCT($T$9:$T25,AB$9:AB25)-SUM(AC$9:AD25))
)
)</f>
        <v>0</v>
      </c>
      <c r="AC26" s="97">
        <f>MIN(
$R26*MAX(L26-AB26-MIN(L26,$Q26),0),
MAX(0,$O$32-SUM(AC$9:AC25)),
MAX(0,$P$32-SUM($U$35:AA$35)-SUM(AC$9:AC25)),
MAX(0,$O$33-SUMPRODUCT($T$9:$T26,AB$9:AB26)-SUM(AC$9:AD25)),
MAX(0,$P$33-SUM($U$33:AA$33)-SUMPRODUCT($T$9:$T26,AB$9:AB26)-SUM(AC$9:AD25))
)</f>
        <v>0</v>
      </c>
      <c r="AD26" s="97">
        <f>MIN(
$S26*MAX(L26-$Q26-AB26-AC26,0),
MAX(0,$O$33-SUMPRODUCT($T$9:$T26,AB$9:AB26)-SUM(AC$9:AC26)-SUM(AD$9:AD25)),
MAX(0,$P$33-SUM($U$33:AA$33)-SUMPRODUCT($T$9:$T26,AB$9:AB26)-SUM(AC$9:AC26)-SUM(AD$9:AD25))
)</f>
        <v>0</v>
      </c>
      <c r="AE26" s="97">
        <f t="shared" si="14"/>
        <v>0</v>
      </c>
    </row>
    <row r="27" spans="1:31" s="66" customFormat="1" ht="17.100000000000001" customHeight="1" outlineLevel="1">
      <c r="A27" s="92" t="s">
        <v>226</v>
      </c>
      <c r="B27" s="90">
        <f>'Cost Estimator'!G37</f>
        <v>0</v>
      </c>
      <c r="C27" s="91">
        <f>B27*Asmpt!$B35</f>
        <v>0</v>
      </c>
      <c r="E27" s="90">
        <f t="shared" si="11"/>
        <v>0</v>
      </c>
      <c r="F27" s="91">
        <f t="shared" si="0"/>
        <v>0</v>
      </c>
      <c r="G27" s="92"/>
      <c r="H27" s="90">
        <f t="shared" si="12"/>
        <v>0</v>
      </c>
      <c r="I27" s="91">
        <f t="shared" si="1"/>
        <v>0</v>
      </c>
      <c r="J27" s="92"/>
      <c r="K27" s="93">
        <f t="shared" si="2"/>
        <v>0</v>
      </c>
      <c r="L27" s="91">
        <f t="shared" si="3"/>
        <v>0</v>
      </c>
      <c r="N27" s="66" t="str">
        <f t="shared" si="4"/>
        <v>[HOLD]</v>
      </c>
      <c r="O27" s="94">
        <f>Asmpt!$D$160</f>
        <v>0</v>
      </c>
      <c r="P27" s="95">
        <f>Asmpt!$D$161</f>
        <v>0</v>
      </c>
      <c r="Q27" s="94">
        <f>Asmpt!$D$162</f>
        <v>0</v>
      </c>
      <c r="R27" s="95">
        <f>Asmpt!$D$163</f>
        <v>1</v>
      </c>
      <c r="S27" s="96">
        <f>IF(Asmpt!$D$164=0,0,Asmpt!$D$46)</f>
        <v>0.2</v>
      </c>
      <c r="T27" s="89">
        <f>Asmpt!$D$51</f>
        <v>1</v>
      </c>
      <c r="U27" s="93"/>
      <c r="V27" s="97">
        <f>IF(E27=0,0,
MIN(
$O27*MAX(E27-CEILING($Q27+$P27*MIN($O$32-SUM(W$9:W26),$P$32-SUM(W$9:W26,$U$35:U$35))/(F27/E27),1),0),
MAX(0,$O$33-SUMPRODUCT($T$9:$T26,V$9:V26)-SUM(W$9:X26)),
MAX(0,$P$33-SUM($U$33:U$33)-SUMPRODUCT($T$9:$T26,V$9:V26)-SUM(W$9:X26))
)
)</f>
        <v>0</v>
      </c>
      <c r="W27" s="97">
        <f>MIN(
$R27*MAX(F27-V27-MIN(F27,$Q27),0),
MAX(0,$O$32-SUM(W$9:W26)),
MAX(0,$P$32-SUM($U$35:U$35)-SUM(W$9:W26)),
MAX(0,$O$33-SUMPRODUCT($T$9:$T27,V$9:V27)-SUM(W$9:X26)),
MAX(0,$P$33-SUM($U$33:U$33)-SUMPRODUCT($T$9:$T27,V$9:V27)-SUM(W$9:X26))
)</f>
        <v>0</v>
      </c>
      <c r="X27" s="97">
        <f>MIN(
$S27*MAX(F27-$Q27-V27-W27,0),
MAX(0,$O$33-SUMPRODUCT($T$9:$T27,V$9:V27)-SUM(W$9:W27)-SUM(X$9:X26)),
MAX(0,$P$33-SUM($U$33:U$33)-SUMPRODUCT($T$9:$T27,V$9:V27)-SUM(W$9:W27)-SUM(X$9:X26))
)</f>
        <v>0</v>
      </c>
      <c r="Y27" s="97">
        <f>IF(H27=0,0,
MIN(
$O27*MAX(H27-CEILING($Q27+$P27*MIN($O$32-SUM(Z$9:Z26),$P$32-SUM(Z$9:Z26,$U$35:X$35))/(I27/H27),1),0),
MAX(0,$O$33-SUMPRODUCT($T$9:$T26,Y$9:Y26)-SUM(Z$9:AA26)),
MAX(0,$P$33-SUM($U$33:X$33)-SUMPRODUCT($T$9:$T26,Y$9:Y26)-SUM(Z$9:AA26))
)
)</f>
        <v>0</v>
      </c>
      <c r="Z27" s="97">
        <f>MIN(
$R27*MAX(I27-Y27-MIN(I27,$Q27),0),
MAX(0,$O$32-SUM(Z$9:Z26)),
MAX(0,$P$32-SUM($U$35:X$35)-SUM(Z$9:Z26)),
MAX(0,$O$33-SUMPRODUCT($T$9:$T27,Y$9:Y27)-SUM(Z$9:AA26)),
MAX(0,$P$33-SUM($U$33:X$33)-SUMPRODUCT($T$9:$T27,Y$9:Y27)-SUM(Z$9:AA26))
)</f>
        <v>0</v>
      </c>
      <c r="AA27" s="97">
        <f>MIN(
$S27*MAX(I27-$Q27-Y27-Z27,0),
MAX(0,$O$33-SUMPRODUCT($T$9:$T27,Y$9:Y27)-SUM(Z$9:Z27)-SUM(AA$9:AA26)),
MAX(0,$P$33-SUM($U$33:X$33)-SUMPRODUCT($T$9:$T27,Y$9:Y27)-SUM(Z$9:Z27)-SUM(AA$9:AA26))
)</f>
        <v>0</v>
      </c>
      <c r="AB27" s="97">
        <f>IF(K27=0,0,
MIN(
$O27*MAX(K27-CEILING($Q27+$P27*MIN($O$32-SUM(AC$9:AC26),$P$32-SUM(AC$9:AC26,$U$35:AA$35))/(L27/K27),1),0),
MAX(0,$O$33-SUMPRODUCT($T$9:$T26,AB$9:AB26)-SUM(AC$9:AD26)),
MAX(0,$P$33-SUM($U$33:AA$33)-SUMPRODUCT($T$9:$T26,AB$9:AB26)-SUM(AC$9:AD26))
)
)</f>
        <v>0</v>
      </c>
      <c r="AC27" s="97">
        <f>MIN(
$R27*MAX(L27-AB27-MIN(L27,$Q27),0),
MAX(0,$O$32-SUM(AC$9:AC26)),
MAX(0,$P$32-SUM($U$35:AA$35)-SUM(AC$9:AC26)),
MAX(0,$O$33-SUMPRODUCT($T$9:$T27,AB$9:AB27)-SUM(AC$9:AD26)),
MAX(0,$P$33-SUM($U$33:AA$33)-SUMPRODUCT($T$9:$T27,AB$9:AB27)-SUM(AC$9:AD26))
)</f>
        <v>0</v>
      </c>
      <c r="AD27" s="97">
        <f>MIN(
$S27*MAX(L27-$Q27-AB27-AC27,0),
MAX(0,$O$33-SUMPRODUCT($T$9:$T27,AB$9:AB27)-SUM(AC$9:AC27)-SUM(AD$9:AD26)),
MAX(0,$P$33-SUM($U$33:AA$33)-SUMPRODUCT($T$9:$T27,AB$9:AB27)-SUM(AC$9:AC27)-SUM(AD$9:AD26))
)</f>
        <v>0</v>
      </c>
      <c r="AE27" s="97">
        <f t="shared" si="14"/>
        <v>0</v>
      </c>
    </row>
    <row r="28" spans="1:31" s="66" customFormat="1" ht="17.100000000000001" customHeight="1">
      <c r="A28" s="92" t="s">
        <v>117</v>
      </c>
      <c r="B28" s="124">
        <f>ROUNDUP(C28/5000,0)</f>
        <v>0</v>
      </c>
      <c r="C28" s="91">
        <f>Asmpt!$B36</f>
        <v>0</v>
      </c>
      <c r="E28" s="90">
        <f t="shared" si="11"/>
        <v>0</v>
      </c>
      <c r="F28" s="91">
        <f t="shared" si="0"/>
        <v>0</v>
      </c>
      <c r="G28" s="92"/>
      <c r="H28" s="90">
        <f t="shared" si="12"/>
        <v>0</v>
      </c>
      <c r="I28" s="91">
        <f t="shared" si="1"/>
        <v>0</v>
      </c>
      <c r="J28" s="92"/>
      <c r="K28" s="93">
        <f t="shared" si="2"/>
        <v>0</v>
      </c>
      <c r="L28" s="91">
        <f t="shared" si="3"/>
        <v>0</v>
      </c>
      <c r="N28" s="66" t="str">
        <f t="shared" si="4"/>
        <v>Outpatient Procedures (Surgery)</v>
      </c>
      <c r="O28" s="94">
        <f>Asmpt!$D$166</f>
        <v>0</v>
      </c>
      <c r="P28" s="95">
        <f>Asmpt!$D$167</f>
        <v>0</v>
      </c>
      <c r="Q28" s="94">
        <f>Asmpt!$D$168</f>
        <v>0</v>
      </c>
      <c r="R28" s="95">
        <f>Asmpt!$D$169</f>
        <v>1</v>
      </c>
      <c r="S28" s="96">
        <f>IF(Asmpt!$D$170=0,0,Asmpt!$D$46)</f>
        <v>0.2</v>
      </c>
      <c r="T28" s="89">
        <f>Asmpt!$D$51</f>
        <v>1</v>
      </c>
      <c r="U28" s="93"/>
      <c r="V28" s="97">
        <f>IF(E28=0,0,
MIN(
$O28*MAX(E28-CEILING($Q28+$P28*MIN($O$32-SUM(W$9:W27),$P$32-SUM(W$9:W27,$U$35:U$35))/(F28/E28),1),0),
MAX(0,$O$33-SUMPRODUCT($T$9:$T27,V$9:V27)-SUM(W$9:X27)),
MAX(0,$P$33-SUM($U$33:U$33)-SUMPRODUCT($T$9:$T27,V$9:V27)-SUM(W$9:X27))
)
)</f>
        <v>0</v>
      </c>
      <c r="W28" s="97">
        <f>MIN(
$R28*MAX(F28-V28-MIN(F28,$Q28),0),
MAX(0,$O$32-SUM(W$9:W27)),
MAX(0,$P$32-SUM($U$35:U$35)-SUM(W$9:W27)),
MAX(0,$O$33-SUMPRODUCT($T$9:$T28,V$9:V28)-SUM(W$9:X27)),
MAX(0,$P$33-SUM($U$33:U$33)-SUMPRODUCT($T$9:$T28,V$9:V28)-SUM(W$9:X27))
)</f>
        <v>0</v>
      </c>
      <c r="X28" s="97">
        <f>MIN(
$S28*MAX(F28-$Q28-V28-W28,0),
MAX(0,$O$33-SUMPRODUCT($T$9:$T28,V$9:V28)-SUM(W$9:W28)-SUM(X$9:X27)),
MAX(0,$P$33-SUM($U$33:U$33)-SUMPRODUCT($T$9:$T28,V$9:V28)-SUM(W$9:W28)-SUM(X$9:X27))
)</f>
        <v>0</v>
      </c>
      <c r="Y28" s="97">
        <f>IF(H28=0,0,
MIN(
$O28*MAX(H28-CEILING($Q28+$P28*MIN($O$32-SUM(Z$9:Z27),$P$32-SUM(Z$9:Z27,$U$35:X$35))/(I28/H28),1),0),
MAX(0,$O$33-SUMPRODUCT($T$9:$T27,Y$9:Y27)-SUM(Z$9:AA27)),
MAX(0,$P$33-SUM($U$33:X$33)-SUMPRODUCT($T$9:$T27,Y$9:Y27)-SUM(Z$9:AA27))
)
)</f>
        <v>0</v>
      </c>
      <c r="Z28" s="97">
        <f>MIN(
$R28*MAX(I28-Y28-MIN(I28,$Q28),0),
MAX(0,$O$32-SUM(Z$9:Z27)),
MAX(0,$P$32-SUM($U$35:X$35)-SUM(Z$9:Z27)),
MAX(0,$O$33-SUMPRODUCT($T$9:$T28,Y$9:Y28)-SUM(Z$9:AA27)),
MAX(0,$P$33-SUM($U$33:X$33)-SUMPRODUCT($T$9:$T28,Y$9:Y28)-SUM(Z$9:AA27))
)</f>
        <v>0</v>
      </c>
      <c r="AA28" s="97">
        <f>MIN(
$S28*MAX(I28-$Q28-Y28-Z28,0),
MAX(0,$O$33-SUMPRODUCT($T$9:$T28,Y$9:Y28)-SUM(Z$9:Z28)-SUM(AA$9:AA27)),
MAX(0,$P$33-SUM($U$33:X$33)-SUMPRODUCT($T$9:$T28,Y$9:Y28)-SUM(Z$9:Z28)-SUM(AA$9:AA27))
)</f>
        <v>0</v>
      </c>
      <c r="AB28" s="97">
        <f>IF(K28=0,0,
MIN(
$O28*MAX(K28-CEILING($Q28+$P28*MIN($O$32-SUM(AC$9:AC27),$P$32-SUM(AC$9:AC27,$U$35:AA$35))/(L28/K28),1),0),
MAX(0,$O$33-SUMPRODUCT($T$9:$T27,AB$9:AB27)-SUM(AC$9:AD27)),
MAX(0,$P$33-SUM($U$33:AA$33)-SUMPRODUCT($T$9:$T27,AB$9:AB27)-SUM(AC$9:AD27))
)
)</f>
        <v>0</v>
      </c>
      <c r="AC28" s="97">
        <f>MIN(
$R28*MAX(L28-AB28-MIN(L28,$Q28),0),
MAX(0,$O$32-SUM(AC$9:AC27)),
MAX(0,$P$32-SUM($U$35:AA$35)-SUM(AC$9:AC27)),
MAX(0,$O$33-SUMPRODUCT($T$9:$T28,AB$9:AB28)-SUM(AC$9:AD27)),
MAX(0,$P$33-SUM($U$33:AA$33)-SUMPRODUCT($T$9:$T28,AB$9:AB28)-SUM(AC$9:AD27))
)</f>
        <v>0</v>
      </c>
      <c r="AD28" s="97">
        <f>MIN(
$S28*MAX(L28-$Q28-AB28-AC28,0),
MAX(0,$O$33-SUMPRODUCT($T$9:$T28,AB$9:AB28)-SUM(AC$9:AC28)-SUM(AD$9:AD27)),
MAX(0,$P$33-SUM($U$33:AA$33)-SUMPRODUCT($T$9:$T28,AB$9:AB28)-SUM(AC$9:AC28)-SUM(AD$9:AD27))
)</f>
        <v>0</v>
      </c>
      <c r="AE28" s="97">
        <f t="shared" si="14"/>
        <v>0</v>
      </c>
    </row>
    <row r="29" spans="1:31" s="66" customFormat="1" ht="17.100000000000001" customHeight="1">
      <c r="A29" s="92" t="s">
        <v>5</v>
      </c>
      <c r="B29" s="124">
        <f>ROUNDUP(C29/5000,0)</f>
        <v>0</v>
      </c>
      <c r="C29" s="91">
        <f>Asmpt!$B38</f>
        <v>0</v>
      </c>
      <c r="E29" s="90">
        <f t="shared" si="11"/>
        <v>0</v>
      </c>
      <c r="F29" s="91">
        <f t="shared" si="0"/>
        <v>0</v>
      </c>
      <c r="G29" s="92"/>
      <c r="H29" s="90">
        <f t="shared" si="12"/>
        <v>0</v>
      </c>
      <c r="I29" s="91">
        <f t="shared" si="1"/>
        <v>0</v>
      </c>
      <c r="J29" s="92"/>
      <c r="K29" s="93">
        <f t="shared" si="2"/>
        <v>0</v>
      </c>
      <c r="L29" s="91">
        <f t="shared" si="3"/>
        <v>0</v>
      </c>
      <c r="N29" s="66" t="str">
        <f t="shared" si="4"/>
        <v>Other</v>
      </c>
      <c r="O29" s="94">
        <f>Asmpt!$D$172</f>
        <v>0</v>
      </c>
      <c r="P29" s="95">
        <f>Asmpt!$D$173</f>
        <v>0</v>
      </c>
      <c r="Q29" s="94">
        <f>Asmpt!$D$174</f>
        <v>0</v>
      </c>
      <c r="R29" s="95">
        <f>Asmpt!$D$175</f>
        <v>1</v>
      </c>
      <c r="S29" s="96">
        <f>IF(Asmpt!$D$176=0,0,Asmpt!$D$46)</f>
        <v>0.2</v>
      </c>
      <c r="T29" s="89">
        <f>Asmpt!$D$51</f>
        <v>1</v>
      </c>
      <c r="U29" s="93"/>
      <c r="V29" s="97">
        <f>IF(E29=0,0,
MIN(
$O29*MAX(E29-CEILING($Q29+$P29*MIN($O$32-SUM(W$9:W28),$P$32-SUM(W$9:W28,$U$35:U$35))/(F29/E29),1),0),
MAX(0,$O$33-SUMPRODUCT($T$9:$T28,V$9:V28)-SUM(W$9:X28)),
MAX(0,$P$33-SUM($U$33:U$33)-SUMPRODUCT($T$9:$T28,V$9:V28)-SUM(W$9:X28))
)
)</f>
        <v>0</v>
      </c>
      <c r="W29" s="97">
        <f>MIN(
$R29*MAX(F29-V29-MIN(F29,$Q29),0),
MAX(0,$O$32-SUM(W$9:W28)),
MAX(0,$P$32-SUM($U$35:U$35)-SUM(W$9:W28)),
MAX(0,$O$33-SUMPRODUCT($T$9:$T29,V$9:V29)-SUM(W$9:X28)),
MAX(0,$P$33-SUM($U$33:U$33)-SUMPRODUCT($T$9:$T29,V$9:V29)-SUM(W$9:X28))
)</f>
        <v>0</v>
      </c>
      <c r="X29" s="97">
        <f>MIN(
$S29*MAX(F29-$Q29-V29-W29,0),
MAX(0,$O$33-SUMPRODUCT($T$9:$T29,V$9:V29)-SUM(W$9:W29)-SUM(X$9:X28)),
MAX(0,$P$33-SUM($U$33:U$33)-SUMPRODUCT($T$9:$T29,V$9:V29)-SUM(W$9:W29)-SUM(X$9:X28))
)</f>
        <v>0</v>
      </c>
      <c r="Y29" s="97">
        <f>IF(H29=0,0,
MIN(
$O29*MAX(H29-CEILING($Q29+$P29*MIN($O$32-SUM(Z$9:Z28),$P$32-SUM(Z$9:Z28,$U$35:X$35))/(I29/H29),1),0),
MAX(0,$O$33-SUMPRODUCT($T$9:$T28,Y$9:Y28)-SUM(Z$9:AA28)),
MAX(0,$P$33-SUM($U$33:X$33)-SUMPRODUCT($T$9:$T28,Y$9:Y28)-SUM(Z$9:AA28))
)
)</f>
        <v>0</v>
      </c>
      <c r="Z29" s="97">
        <f>MIN(
$R29*MAX(I29-Y29-MIN(I29,$Q29),0),
MAX(0,$O$32-SUM(Z$9:Z28)),
MAX(0,$P$32-SUM($U$35:X$35)-SUM(Z$9:Z28)),
MAX(0,$O$33-SUMPRODUCT($T$9:$T29,Y$9:Y29)-SUM(Z$9:AA28)),
MAX(0,$P$33-SUM($U$33:X$33)-SUMPRODUCT($T$9:$T29,Y$9:Y29)-SUM(Z$9:AA28))
)</f>
        <v>0</v>
      </c>
      <c r="AA29" s="97">
        <f>MIN(
$S29*MAX(I29-$Q29-Y29-Z29,0),
MAX(0,$O$33-SUMPRODUCT($T$9:$T29,Y$9:Y29)-SUM(Z$9:Z29)-SUM(AA$9:AA28)),
MAX(0,$P$33-SUM($U$33:X$33)-SUMPRODUCT($T$9:$T29,Y$9:Y29)-SUM(Z$9:Z29)-SUM(AA$9:AA28))
)</f>
        <v>0</v>
      </c>
      <c r="AB29" s="97">
        <f>IF(K29=0,0,
MIN(
$O29*MAX(K29-CEILING($Q29+$P29*MIN($O$32-SUM(AC$9:AC28),$P$32-SUM(AC$9:AC28,$U$35:AA$35))/(L29/K29),1),0),
MAX(0,$O$33-SUMPRODUCT($T$9:$T28,AB$9:AB28)-SUM(AC$9:AD28)),
MAX(0,$P$33-SUM($U$33:AA$33)-SUMPRODUCT($T$9:$T28,AB$9:AB28)-SUM(AC$9:AD28))
)
)</f>
        <v>0</v>
      </c>
      <c r="AC29" s="97">
        <f>MIN(
$R29*MAX(L29-AB29-MIN(L29,$Q29),0),
MAX(0,$O$32-SUM(AC$9:AC28)),
MAX(0,$P$32-SUM($U$35:AA$35)-SUM(AC$9:AC28)),
MAX(0,$O$33-SUMPRODUCT($T$9:$T29,AB$9:AB29)-SUM(AC$9:AD28)),
MAX(0,$P$33-SUM($U$33:AA$33)-SUMPRODUCT($T$9:$T29,AB$9:AB29)-SUM(AC$9:AD28))
)</f>
        <v>0</v>
      </c>
      <c r="AD29" s="97">
        <f>MIN(
$S29*MAX(L29-$Q29-AB29-AC29,0),
MAX(0,$O$33-SUMPRODUCT($T$9:$T29,AB$9:AB29)-SUM(AC$9:AC29)-SUM(AD$9:AD28)),
MAX(0,$P$33-SUM($U$33:AA$33)-SUMPRODUCT($T$9:$T29,AB$9:AB29)-SUM(AC$9:AC29)-SUM(AD$9:AD28))
)</f>
        <v>0</v>
      </c>
      <c r="AE29" s="97">
        <f t="shared" si="14"/>
        <v>0</v>
      </c>
    </row>
    <row r="30" spans="1:31" s="66" customFormat="1" ht="17.100000000000001" customHeight="1">
      <c r="B30" s="93"/>
      <c r="C30" s="91"/>
      <c r="O30" s="94"/>
      <c r="P30" s="94"/>
      <c r="Q30" s="94"/>
      <c r="R30" s="89"/>
      <c r="S30" s="96"/>
      <c r="T30" s="89"/>
      <c r="U30" s="93"/>
      <c r="V30" s="97"/>
      <c r="W30" s="97"/>
      <c r="X30" s="97"/>
      <c r="Y30" s="97"/>
      <c r="Z30" s="97"/>
      <c r="AA30" s="97"/>
      <c r="AB30" s="97"/>
      <c r="AC30" s="97"/>
      <c r="AD30" s="97"/>
      <c r="AE30" s="97"/>
    </row>
    <row r="31" spans="1:31" s="66" customFormat="1" ht="17.100000000000001" customHeight="1">
      <c r="A31" s="66" t="s">
        <v>29</v>
      </c>
      <c r="B31" s="93"/>
      <c r="C31" s="91">
        <f>SUM(C10:C29)</f>
        <v>0</v>
      </c>
      <c r="F31" s="91">
        <f>SUM(F10:F29)</f>
        <v>0</v>
      </c>
      <c r="I31" s="91">
        <f>SUM(I10:I29)</f>
        <v>0</v>
      </c>
      <c r="L31" s="91">
        <f>SUM(L10:L29)</f>
        <v>0</v>
      </c>
      <c r="O31" s="99" t="str">
        <f>IF(E71=1, "Ind","Fam Mbr")</f>
        <v>Ind</v>
      </c>
      <c r="P31" s="99" t="s">
        <v>123</v>
      </c>
      <c r="Q31" s="99"/>
      <c r="U31" s="98" t="s">
        <v>93</v>
      </c>
      <c r="V31" s="97">
        <f t="shared" ref="V31:AE31" si="16">SUM(V10:V29)</f>
        <v>0</v>
      </c>
      <c r="W31" s="97">
        <f t="shared" si="16"/>
        <v>0</v>
      </c>
      <c r="X31" s="97">
        <f t="shared" si="16"/>
        <v>0</v>
      </c>
      <c r="Y31" s="97">
        <f t="shared" si="16"/>
        <v>0</v>
      </c>
      <c r="Z31" s="97">
        <f t="shared" si="16"/>
        <v>0</v>
      </c>
      <c r="AA31" s="97">
        <f t="shared" si="16"/>
        <v>0</v>
      </c>
      <c r="AB31" s="97">
        <f t="shared" si="16"/>
        <v>0</v>
      </c>
      <c r="AC31" s="97">
        <f t="shared" si="16"/>
        <v>0</v>
      </c>
      <c r="AD31" s="97">
        <f t="shared" si="16"/>
        <v>0</v>
      </c>
      <c r="AE31" s="97">
        <f t="shared" si="16"/>
        <v>0</v>
      </c>
    </row>
    <row r="32" spans="1:31" s="66" customFormat="1" ht="17.100000000000001" customHeight="1">
      <c r="B32" s="93"/>
      <c r="C32" s="94"/>
      <c r="N32" s="66" t="s">
        <v>88</v>
      </c>
      <c r="O32" s="94">
        <f>IF(E71=1,Asmpt!$D44,IF(Asmpt!$D53=1,Asmpt!$D44,Asmpt!$D45))</f>
        <v>2600</v>
      </c>
      <c r="P32" s="94">
        <f>IF(E71=1,O32,Asmpt!$D45)</f>
        <v>2600</v>
      </c>
      <c r="Q32" s="94"/>
    </row>
    <row r="33" spans="1:31" s="75" customFormat="1" ht="17.100000000000001" customHeight="1">
      <c r="A33" s="76" t="s">
        <v>94</v>
      </c>
      <c r="B33" s="76"/>
      <c r="C33" s="77" t="str">
        <f>Asmpt!$D$43</f>
        <v>HSA</v>
      </c>
      <c r="D33" s="66"/>
      <c r="E33" s="66"/>
      <c r="F33" s="66"/>
      <c r="G33" s="66"/>
      <c r="H33" s="66"/>
      <c r="I33" s="66"/>
      <c r="J33" s="66"/>
      <c r="K33" s="66"/>
      <c r="L33" s="66"/>
      <c r="M33" s="66"/>
      <c r="N33" s="66" t="s">
        <v>95</v>
      </c>
      <c r="O33" s="94">
        <f>IF(E71=1,Asmpt!$D48,IF(Asmpt!$D54=1,Asmpt!$D48,Asmpt!$D50))</f>
        <v>4500</v>
      </c>
      <c r="P33" s="94">
        <f>IF(E71=1,O33,Asmpt!$D49)</f>
        <v>4500</v>
      </c>
      <c r="Q33" s="94"/>
      <c r="U33" s="98" t="s">
        <v>96</v>
      </c>
      <c r="V33" s="97">
        <f>SUMPRODUCT(T10:T29,V10:V29)</f>
        <v>0</v>
      </c>
      <c r="W33" s="100">
        <f>W31</f>
        <v>0</v>
      </c>
      <c r="X33" s="100">
        <f>X31</f>
        <v>0</v>
      </c>
      <c r="Y33" s="97">
        <f>SUMPRODUCT(T10:T29,Y10:Y29)</f>
        <v>0</v>
      </c>
      <c r="Z33" s="100">
        <f>Z31</f>
        <v>0</v>
      </c>
      <c r="AA33" s="100">
        <f>AA31</f>
        <v>0</v>
      </c>
      <c r="AB33" s="97">
        <f>SUMPRODUCT(T10:T29,AB10:AB29)</f>
        <v>0</v>
      </c>
      <c r="AC33" s="100">
        <f>AC31</f>
        <v>0</v>
      </c>
      <c r="AD33" s="100">
        <f>AD31</f>
        <v>0</v>
      </c>
    </row>
    <row r="34" spans="1:31" s="66" customFormat="1" ht="17.100000000000001" customHeight="1">
      <c r="A34" s="66" t="s">
        <v>87</v>
      </c>
      <c r="C34" s="94">
        <f>Y38</f>
        <v>0</v>
      </c>
    </row>
    <row r="35" spans="1:31" s="66" customFormat="1" ht="17.100000000000001" customHeight="1">
      <c r="A35" s="66" t="s">
        <v>88</v>
      </c>
      <c r="C35" s="94">
        <f>Z38</f>
        <v>0</v>
      </c>
      <c r="U35" s="98" t="s">
        <v>98</v>
      </c>
      <c r="V35" s="97"/>
      <c r="W35" s="100">
        <f>W33</f>
        <v>0</v>
      </c>
      <c r="X35" s="100"/>
      <c r="Y35" s="97"/>
      <c r="Z35" s="100">
        <f>Z33</f>
        <v>0</v>
      </c>
      <c r="AA35" s="100"/>
      <c r="AB35" s="97"/>
      <c r="AC35" s="100">
        <f>AC33</f>
        <v>0</v>
      </c>
      <c r="AD35" s="100"/>
    </row>
    <row r="36" spans="1:31" s="66" customFormat="1" ht="17.100000000000001" customHeight="1">
      <c r="A36" s="66" t="s">
        <v>6</v>
      </c>
      <c r="C36" s="94">
        <f>AA38</f>
        <v>0</v>
      </c>
      <c r="O36" s="101"/>
      <c r="P36" s="101"/>
      <c r="Q36" s="101"/>
    </row>
    <row r="37" spans="1:31" s="66" customFormat="1" ht="17.100000000000001" customHeight="1">
      <c r="A37" s="66" t="str">
        <f>Asmpt!$AA$39</f>
        <v>(Less HSA Reimbursement)</v>
      </c>
      <c r="C37" s="94">
        <f>-MIN(SUM(C34:C36),INDEX(Asmpt!$D184:$D189,E71))</f>
        <v>0</v>
      </c>
      <c r="X37" s="93" t="s">
        <v>99</v>
      </c>
      <c r="Y37" s="102" t="s">
        <v>87</v>
      </c>
      <c r="Z37" s="102" t="s">
        <v>88</v>
      </c>
      <c r="AA37" s="102" t="s">
        <v>6</v>
      </c>
      <c r="AB37" s="66" t="s">
        <v>100</v>
      </c>
    </row>
    <row r="38" spans="1:31" s="66" customFormat="1" ht="17.100000000000001" customHeight="1">
      <c r="A38" s="66" t="s">
        <v>101</v>
      </c>
      <c r="C38" s="94">
        <f>SUM(C34:C37)</f>
        <v>0</v>
      </c>
      <c r="Y38" s="97">
        <f>SUM(V31,Y31,AB31)</f>
        <v>0</v>
      </c>
      <c r="Z38" s="97">
        <f>SUM(W31,Z31,AC31)</f>
        <v>0</v>
      </c>
      <c r="AA38" s="97">
        <f>SUM(X31,AA31,AD31)</f>
        <v>0</v>
      </c>
      <c r="AB38" s="97">
        <f>SUM(Y38:AA38)</f>
        <v>0</v>
      </c>
      <c r="AD38" s="100" t="s">
        <v>97</v>
      </c>
      <c r="AE38" s="100" t="b">
        <f>SUM(V31:AE31)=C31</f>
        <v>1</v>
      </c>
    </row>
    <row r="39" spans="1:31" s="66" customFormat="1" ht="17.100000000000001" customHeight="1">
      <c r="C39" s="94"/>
    </row>
    <row r="40" spans="1:31" s="66" customFormat="1" ht="17.100000000000001" customHeight="1">
      <c r="A40" s="66" t="s">
        <v>102</v>
      </c>
      <c r="B40" s="103"/>
      <c r="C40" s="94" t="str">
        <f>'Cost Estimator'!G57</f>
        <v/>
      </c>
    </row>
    <row r="41" spans="1:31" s="66" customFormat="1" ht="17.100000000000001" customHeight="1">
      <c r="B41" s="93"/>
      <c r="C41" s="93"/>
    </row>
    <row r="42" spans="1:31" s="75" customFormat="1" ht="17.100000000000001" customHeight="1">
      <c r="A42" s="104" t="s">
        <v>29</v>
      </c>
      <c r="B42" s="104"/>
      <c r="C42" s="105" t="e">
        <f>C38+C40</f>
        <v>#VALUE!</v>
      </c>
      <c r="D42" s="66"/>
      <c r="E42" s="66"/>
      <c r="F42" s="66"/>
      <c r="G42" s="66"/>
      <c r="H42" s="66"/>
      <c r="I42" s="66"/>
      <c r="J42" s="66"/>
      <c r="K42" s="66"/>
      <c r="L42" s="66"/>
      <c r="M42" s="66"/>
      <c r="N42" s="66"/>
    </row>
    <row r="43" spans="1:31" s="66" customFormat="1" ht="10.15" customHeight="1"/>
    <row r="44" spans="1:31" s="66" customFormat="1" ht="17.100000000000001" customHeight="1">
      <c r="A44" s="66" t="str">
        <f>Asmpt!$AA$40</f>
        <v>HSA Rollover</v>
      </c>
      <c r="C44" s="94">
        <f>IF(OR(C33="HSA",C33="HRA"),IF(Asmpt!$D$184+C37=0,0,Asmpt!$D$184+C37),"NA")</f>
        <v>1000</v>
      </c>
      <c r="O44" s="103"/>
      <c r="P44" s="103"/>
      <c r="Q44" s="103"/>
    </row>
    <row r="45" spans="1:31" s="66" customFormat="1" ht="17.100000000000001" customHeight="1">
      <c r="O45" s="103"/>
      <c r="P45" s="103"/>
      <c r="Q45" s="103"/>
    </row>
    <row r="46" spans="1:31" s="66" customFormat="1" ht="17.100000000000001" customHeight="1">
      <c r="A46" s="173" t="s">
        <v>153</v>
      </c>
      <c r="B46" s="173"/>
      <c r="C46" s="174"/>
      <c r="O46" s="103"/>
      <c r="P46" s="103"/>
      <c r="Q46" s="103"/>
    </row>
    <row r="47" spans="1:31" s="66" customFormat="1" ht="17.100000000000001" customHeight="1">
      <c r="A47" s="66" t="s">
        <v>154</v>
      </c>
      <c r="C47" s="97" t="str">
        <f>C40</f>
        <v/>
      </c>
      <c r="O47" s="103"/>
      <c r="P47" s="103"/>
      <c r="Q47" s="103"/>
    </row>
    <row r="48" spans="1:31" s="66" customFormat="1" ht="17.100000000000001" customHeight="1">
      <c r="A48" s="66" t="s">
        <v>104</v>
      </c>
      <c r="O48" s="103"/>
      <c r="P48" s="103"/>
      <c r="Q48" s="103"/>
    </row>
    <row r="49" spans="1:34" s="66" customFormat="1" ht="17.100000000000001" customHeight="1">
      <c r="A49" s="175" t="s">
        <v>157</v>
      </c>
      <c r="C49" s="66">
        <f>INDEX('Cost Estimator'!K5:K10,'Cost Estimator'!J4)</f>
        <v>1</v>
      </c>
      <c r="O49" s="103"/>
      <c r="P49" s="103"/>
      <c r="Q49" s="103"/>
    </row>
    <row r="50" spans="1:34" s="66" customFormat="1" ht="17.100000000000001" customHeight="1">
      <c r="A50" s="175" t="s">
        <v>158</v>
      </c>
      <c r="C50" s="66">
        <f>C49*Asmpt!C50</f>
        <v>4500</v>
      </c>
      <c r="O50" s="103"/>
      <c r="P50" s="103"/>
      <c r="Q50" s="103"/>
    </row>
    <row r="51" spans="1:34" s="66" customFormat="1" ht="17.100000000000001" customHeight="1">
      <c r="A51" s="175" t="s">
        <v>159</v>
      </c>
      <c r="C51" s="66">
        <f>Asmpt!C49</f>
        <v>9000</v>
      </c>
      <c r="O51" s="103"/>
      <c r="P51" s="103"/>
      <c r="Q51" s="103"/>
    </row>
    <row r="52" spans="1:34" s="66" customFormat="1" ht="17.100000000000001" customHeight="1">
      <c r="A52" s="175" t="s">
        <v>160</v>
      </c>
      <c r="C52" s="66">
        <f>MIN(C50:C51)</f>
        <v>4500</v>
      </c>
      <c r="O52" s="103"/>
      <c r="P52" s="103"/>
      <c r="Q52" s="103"/>
    </row>
    <row r="53" spans="1:34" s="66" customFormat="1" ht="17.100000000000001" customHeight="1">
      <c r="A53" s="66" t="s">
        <v>155</v>
      </c>
      <c r="C53" s="97">
        <f>-MIN(C52,INDEX(Asmpt!$C184:$C189,E71))</f>
        <v>-1000</v>
      </c>
      <c r="O53" s="103"/>
      <c r="P53" s="103"/>
      <c r="Q53" s="103"/>
    </row>
    <row r="54" spans="1:34" s="66" customFormat="1" ht="17.100000000000001" customHeight="1">
      <c r="A54" s="66" t="s">
        <v>29</v>
      </c>
      <c r="C54" s="97" t="e">
        <f>C47+C52+C53</f>
        <v>#VALUE!</v>
      </c>
      <c r="O54" s="103"/>
      <c r="P54" s="103"/>
      <c r="Q54" s="103"/>
    </row>
    <row r="55" spans="1:34" s="66" customFormat="1" ht="17.100000000000001" customHeight="1">
      <c r="O55" s="103"/>
      <c r="P55" s="103"/>
      <c r="Q55" s="103"/>
    </row>
    <row r="56" spans="1:34" s="66" customFormat="1" ht="17.100000000000001" customHeight="1">
      <c r="O56" s="103"/>
      <c r="P56" s="103"/>
      <c r="Q56" s="103"/>
    </row>
    <row r="57" spans="1:34" s="66" customFormat="1" ht="17.100000000000001" customHeight="1">
      <c r="A57" s="103" t="s">
        <v>74</v>
      </c>
      <c r="O57" s="101"/>
      <c r="P57" s="101"/>
      <c r="Q57" s="101"/>
    </row>
    <row r="58" spans="1:34" s="66" customFormat="1" ht="15.75">
      <c r="A58" s="66" t="s">
        <v>103</v>
      </c>
      <c r="M58" s="85"/>
      <c r="N58" s="85"/>
      <c r="O58" s="85"/>
      <c r="P58" s="85"/>
      <c r="Q58" s="85"/>
      <c r="R58" s="85"/>
      <c r="S58" s="85"/>
      <c r="T58" s="85"/>
      <c r="U58" s="85"/>
      <c r="V58" s="85"/>
      <c r="W58" s="85"/>
      <c r="X58" s="85"/>
      <c r="Y58" s="85"/>
      <c r="Z58" s="85"/>
      <c r="AA58" s="85"/>
      <c r="AB58" s="85"/>
      <c r="AC58" s="85"/>
      <c r="AD58" s="85"/>
      <c r="AE58" s="85"/>
      <c r="AF58" s="85"/>
      <c r="AG58" s="85"/>
      <c r="AH58" s="85"/>
    </row>
    <row r="59" spans="1:34" s="66" customFormat="1" ht="15.75">
      <c r="A59" s="66" t="str">
        <f>C33&amp;" = "&amp;Asmpt!$D$40</f>
        <v>HSA = NA</v>
      </c>
      <c r="M59" s="85"/>
      <c r="N59" s="85"/>
      <c r="O59" s="85"/>
      <c r="P59" s="85"/>
      <c r="Q59" s="85"/>
      <c r="R59" s="85"/>
      <c r="S59" s="85"/>
      <c r="T59" s="85"/>
      <c r="U59" s="85"/>
      <c r="V59" s="85"/>
      <c r="W59" s="85"/>
      <c r="X59" s="85"/>
      <c r="Y59" s="85"/>
      <c r="Z59" s="85"/>
      <c r="AA59" s="85"/>
      <c r="AB59" s="85"/>
      <c r="AC59" s="85"/>
      <c r="AD59" s="85"/>
      <c r="AE59" s="85"/>
      <c r="AF59" s="85"/>
      <c r="AG59" s="85"/>
      <c r="AH59" s="85"/>
    </row>
    <row r="60" spans="1:34" s="106" customFormat="1" ht="15.75"/>
    <row r="61" spans="1:34" s="106" customFormat="1" ht="15.75"/>
    <row r="62" spans="1:34" s="106" customFormat="1" ht="15.75">
      <c r="B62" s="107" t="s">
        <v>107</v>
      </c>
      <c r="C62" s="108"/>
      <c r="D62" s="108"/>
      <c r="E62" s="108"/>
      <c r="F62" s="108"/>
      <c r="G62" s="108"/>
      <c r="H62" s="108"/>
      <c r="I62" s="108"/>
      <c r="J62" s="108"/>
      <c r="K62" s="108"/>
      <c r="L62" s="109"/>
    </row>
    <row r="63" spans="1:34" s="106" customFormat="1" ht="15.75">
      <c r="B63" s="110" t="s">
        <v>2</v>
      </c>
      <c r="C63" s="111"/>
      <c r="D63" s="111"/>
      <c r="E63" s="112">
        <v>1</v>
      </c>
      <c r="F63" s="112"/>
      <c r="G63" s="112"/>
      <c r="H63" s="112">
        <v>0</v>
      </c>
      <c r="I63" s="112"/>
      <c r="J63" s="112"/>
      <c r="K63" s="112">
        <v>0</v>
      </c>
      <c r="L63" s="113"/>
    </row>
    <row r="64" spans="1:34" s="106" customFormat="1" ht="15.75">
      <c r="B64" s="110" t="s">
        <v>31</v>
      </c>
      <c r="C64" s="111"/>
      <c r="D64" s="111"/>
      <c r="E64" s="112">
        <v>0.85</v>
      </c>
      <c r="F64" s="112"/>
      <c r="G64" s="112"/>
      <c r="H64" s="112">
        <v>0.15</v>
      </c>
      <c r="I64" s="112"/>
      <c r="J64" s="112"/>
      <c r="K64" s="112">
        <v>0</v>
      </c>
      <c r="L64" s="113"/>
    </row>
    <row r="65" spans="2:12" s="106" customFormat="1" ht="15.75">
      <c r="B65" s="110" t="s">
        <v>26</v>
      </c>
      <c r="C65" s="111"/>
      <c r="D65" s="111"/>
      <c r="E65" s="112">
        <v>0.85</v>
      </c>
      <c r="F65" s="112"/>
      <c r="G65" s="112"/>
      <c r="H65" s="112">
        <v>0.15</v>
      </c>
      <c r="I65" s="112"/>
      <c r="J65" s="112"/>
      <c r="K65" s="112">
        <v>0</v>
      </c>
      <c r="L65" s="113"/>
    </row>
    <row r="66" spans="2:12" s="106" customFormat="1" ht="15.75">
      <c r="B66" s="110" t="s">
        <v>19</v>
      </c>
      <c r="C66" s="111"/>
      <c r="D66" s="111"/>
      <c r="E66" s="112">
        <v>0.65</v>
      </c>
      <c r="F66" s="112"/>
      <c r="G66" s="112"/>
      <c r="H66" s="112">
        <v>0.25</v>
      </c>
      <c r="I66" s="112"/>
      <c r="J66" s="112"/>
      <c r="K66" s="112">
        <v>0.1</v>
      </c>
      <c r="L66" s="113"/>
    </row>
    <row r="67" spans="2:12" s="106" customFormat="1" ht="15.75">
      <c r="B67" s="110" t="s">
        <v>24</v>
      </c>
      <c r="C67" s="111"/>
      <c r="D67" s="111"/>
      <c r="E67" s="112">
        <v>0.65</v>
      </c>
      <c r="F67" s="112"/>
      <c r="G67" s="112"/>
      <c r="H67" s="112">
        <v>0.25</v>
      </c>
      <c r="I67" s="112"/>
      <c r="J67" s="112"/>
      <c r="K67" s="112">
        <v>0.1</v>
      </c>
      <c r="L67" s="113"/>
    </row>
    <row r="68" spans="2:12" s="106" customFormat="1" ht="15.75">
      <c r="B68" s="110" t="s">
        <v>23</v>
      </c>
      <c r="C68" s="111"/>
      <c r="D68" s="111"/>
      <c r="E68" s="112">
        <v>0.65</v>
      </c>
      <c r="F68" s="112"/>
      <c r="G68" s="112"/>
      <c r="H68" s="112">
        <v>0.25</v>
      </c>
      <c r="I68" s="112"/>
      <c r="J68" s="112"/>
      <c r="K68" s="112">
        <v>0.1</v>
      </c>
      <c r="L68" s="113"/>
    </row>
    <row r="69" spans="2:12">
      <c r="B69" s="114"/>
      <c r="C69" s="115"/>
      <c r="D69" s="115"/>
      <c r="E69" s="115"/>
      <c r="F69" s="115"/>
      <c r="G69" s="115"/>
      <c r="H69" s="115"/>
      <c r="I69" s="115"/>
      <c r="J69" s="115"/>
      <c r="K69" s="115"/>
      <c r="L69" s="116"/>
    </row>
    <row r="70" spans="2:12">
      <c r="B70" s="114"/>
      <c r="C70" s="115"/>
      <c r="D70" s="115"/>
      <c r="E70" s="115"/>
      <c r="F70" s="115"/>
      <c r="G70" s="115"/>
      <c r="H70" s="115"/>
      <c r="I70" s="115"/>
      <c r="J70" s="115"/>
      <c r="K70" s="115"/>
      <c r="L70" s="116"/>
    </row>
    <row r="71" spans="2:12">
      <c r="B71" s="114" t="s">
        <v>108</v>
      </c>
      <c r="C71" s="115"/>
      <c r="D71" s="115"/>
      <c r="E71" s="115">
        <f>MATCH(1,'Cost Estimator'!$J$5:$J$10,0)</f>
        <v>1</v>
      </c>
      <c r="F71" s="115"/>
      <c r="G71" s="115"/>
      <c r="H71" s="115"/>
      <c r="I71" s="115"/>
      <c r="J71" s="115"/>
      <c r="K71" s="115"/>
      <c r="L71" s="116"/>
    </row>
    <row r="72" spans="2:12">
      <c r="B72" s="117" t="str">
        <f>INDEX(B63:B68,MATCH(1,'Cost Estimator'!$J$5:$J$10,0),1)</f>
        <v>Employee Only</v>
      </c>
      <c r="C72" s="118"/>
      <c r="D72" s="118"/>
      <c r="E72" s="119">
        <f>INDEX(E63:E68,MATCH(1,'Cost Estimator'!$J$5:$J$10,0),1)</f>
        <v>1</v>
      </c>
      <c r="F72" s="119"/>
      <c r="G72" s="119"/>
      <c r="H72" s="119">
        <f>INDEX(H63:H68,MATCH(1,'Cost Estimator'!$J$5:$J$10,0),1)</f>
        <v>0</v>
      </c>
      <c r="I72" s="119"/>
      <c r="J72" s="119"/>
      <c r="K72" s="119">
        <f>INDEX(K63:K68,MATCH(1,'Cost Estimator'!$J$5:$J$10,0),1)</f>
        <v>0</v>
      </c>
      <c r="L72" s="120"/>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Instructions</vt:lpstr>
      <vt:lpstr>Cost Estimator</vt:lpstr>
      <vt:lpstr>Tax Savings</vt:lpstr>
      <vt:lpstr>Benefit Summary</vt:lpstr>
      <vt:lpstr>Asmpt</vt:lpstr>
      <vt:lpstr>Plan 1 Calcs</vt:lpstr>
      <vt:lpstr>Plan 2 Calcs</vt:lpstr>
      <vt:lpstr>Plan 3 Calcs</vt:lpstr>
      <vt:lpstr>Carrier</vt:lpstr>
      <vt:lpstr>Cost__Lab</vt:lpstr>
      <vt:lpstr>Cost_AltCareOV</vt:lpstr>
      <vt:lpstr>Cost_BrandRx</vt:lpstr>
      <vt:lpstr>Cost_BrandRxMord</vt:lpstr>
      <vt:lpstr>Cost_CTScan</vt:lpstr>
      <vt:lpstr>Cost_GenRx</vt:lpstr>
      <vt:lpstr>Cost_GenRxMOrd</vt:lpstr>
      <vt:lpstr>Cost_IPAdmit</vt:lpstr>
      <vt:lpstr>Cost_MRI</vt:lpstr>
      <vt:lpstr>Cost_NonFormBrandRx</vt:lpstr>
      <vt:lpstr>Cost_NonFormBrandRxMOrd</vt:lpstr>
      <vt:lpstr>Cost_NonFormGenRx</vt:lpstr>
      <vt:lpstr>Cost_NonFormGenRxMOrd</vt:lpstr>
      <vt:lpstr>Cost_NonFormSpecRx</vt:lpstr>
      <vt:lpstr>Cost_OPSurg</vt:lpstr>
      <vt:lpstr>Cost_Other</vt:lpstr>
      <vt:lpstr>Cost_PCPOV</vt:lpstr>
      <vt:lpstr>Cost_PhysOcc</vt:lpstr>
      <vt:lpstr>Cost_PrevOV</vt:lpstr>
      <vt:lpstr>Cost_SpecOV</vt:lpstr>
      <vt:lpstr>Cost_SpecRx</vt:lpstr>
      <vt:lpstr>Plan_Year</vt:lpstr>
      <vt:lpstr>Asmpt!Print_Area</vt:lpstr>
      <vt:lpstr>'Benefit Summary'!Print_Area</vt:lpstr>
      <vt:lpstr>'Cost Estimator'!Print_Area</vt:lpstr>
      <vt:lpstr>Instructions!Print_Area</vt:lpstr>
      <vt:lpstr>'Plan 1 Calcs'!Print_Area</vt:lpstr>
      <vt:lpstr>'Plan 2 Calcs'!Print_Area</vt:lpstr>
      <vt:lpstr>'Plan 3 Calcs'!Print_Area</vt:lpstr>
      <vt:lpstr>'Tax Savings'!Print_Area</vt:lpstr>
      <vt:lpstr>'Plan 1 Calcs'!Print_Titles</vt:lpstr>
      <vt:lpstr>'Plan 2 Calcs'!Print_Titles</vt:lpstr>
      <vt:lpstr>'Plan 3 Calcs'!Print_Titles</vt:lpstr>
      <vt:lpstr>PY_End</vt:lpstr>
      <vt:lpstr>PY_Start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Rogers</dc:creator>
  <cp:lastModifiedBy>Jason Rogers</cp:lastModifiedBy>
  <cp:lastPrinted>2022-04-25T18:10:14Z</cp:lastPrinted>
  <dcterms:created xsi:type="dcterms:W3CDTF">2006-10-12T18:05:23Z</dcterms:created>
  <dcterms:modified xsi:type="dcterms:W3CDTF">2022-04-29T19:34:11Z</dcterms:modified>
</cp:coreProperties>
</file>