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ate1904="1" codeName="ThisWorkbook"/>
  <mc:AlternateContent xmlns:mc="http://schemas.openxmlformats.org/markup-compatibility/2006">
    <mc:Choice Requires="x15">
      <x15ac:absPath xmlns:x15ac="http://schemas.microsoft.com/office/spreadsheetml/2010/11/ac" url="\\assuredpartners.com\ap\West\MCM\Group\EB\Clients\Green Diamond\Employee Communication\2023 - 2024\Enrollment\Cost Estimator\"/>
    </mc:Choice>
  </mc:AlternateContent>
  <xr:revisionPtr revIDLastSave="0" documentId="14_{EE96F00C-7B8D-49EC-81D2-C27FF82DAFB3}" xr6:coauthVersionLast="47" xr6:coauthVersionMax="47" xr10:uidLastSave="{00000000-0000-0000-0000-000000000000}"/>
  <workbookProtection workbookAlgorithmName="SHA-512" workbookHashValue="BhLSL5UuBG8RSy4WB0hzU64B/OqWYnJi0zDxdA72ZjudSxISslwIbVR8/sA1cwmgplqiwyztdsVgMjOyfi4KTw==" workbookSaltValue="AphWmNz6VnbqoqwaPHQNrg==" workbookSpinCount="100000" lockStructure="1"/>
  <bookViews>
    <workbookView xWindow="2385" yWindow="630" windowWidth="26145" windowHeight="17595" tabRatio="883" xr2:uid="{00000000-000D-0000-FFFF-FFFF00000000}"/>
  </bookViews>
  <sheets>
    <sheet name="Instructions" sheetId="10" r:id="rId1"/>
    <sheet name="Cost Estimator" sheetId="1" r:id="rId2"/>
    <sheet name="Tax Savings" sheetId="17" state="hidden"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Summary'!$A$1:$C$45</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7" i="1" l="1"/>
  <c r="C50" i="1"/>
  <c r="J51" i="1"/>
  <c r="C10" i="14" l="1"/>
  <c r="C9" i="14"/>
  <c r="C5" i="10"/>
  <c r="C4" i="1"/>
  <c r="A205" i="12"/>
  <c r="A206" i="12"/>
  <c r="C24" i="10" l="1"/>
  <c r="B7" i="17"/>
  <c r="C29" i="15" l="1"/>
  <c r="C28" i="15"/>
  <c r="N36" i="13"/>
  <c r="C29" i="13"/>
  <c r="C28" i="13"/>
  <c r="C17" i="10" l="1"/>
  <c r="A201" i="12"/>
  <c r="C20" i="10" l="1"/>
  <c r="C18" i="10"/>
  <c r="E17" i="1"/>
  <c r="K16" i="1"/>
  <c r="J16" i="1"/>
  <c r="S12" i="16"/>
  <c r="S12" i="15"/>
  <c r="S12" i="13"/>
  <c r="R12" i="16"/>
  <c r="Q12" i="16"/>
  <c r="P12" i="16"/>
  <c r="R12" i="15"/>
  <c r="Q12" i="15"/>
  <c r="P12" i="15"/>
  <c r="T12" i="16"/>
  <c r="T12" i="15"/>
  <c r="T12" i="13"/>
  <c r="R12" i="13"/>
  <c r="Q12" i="13"/>
  <c r="P12" i="13"/>
  <c r="O12" i="16"/>
  <c r="N12" i="16"/>
  <c r="O12" i="15"/>
  <c r="N12" i="15"/>
  <c r="O12" i="13"/>
  <c r="N12" i="13"/>
  <c r="B12" i="16"/>
  <c r="C12" i="16"/>
  <c r="B12" i="15"/>
  <c r="C12" i="15" s="1"/>
  <c r="B12" i="13"/>
  <c r="C17" i="1"/>
  <c r="C22" i="10"/>
  <c r="C23" i="10"/>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B23" i="16"/>
  <c r="B24" i="16"/>
  <c r="B16" i="16"/>
  <c r="C16" i="16" s="1"/>
  <c r="B17" i="16"/>
  <c r="C17" i="16" s="1"/>
  <c r="B18" i="16"/>
  <c r="L18" i="16" s="1"/>
  <c r="C18" i="16"/>
  <c r="B19" i="16"/>
  <c r="B20" i="16"/>
  <c r="C20" i="16" s="1"/>
  <c r="B22" i="15"/>
  <c r="C22" i="15" s="1"/>
  <c r="B23" i="15"/>
  <c r="B24" i="15"/>
  <c r="B16" i="15"/>
  <c r="B17" i="15"/>
  <c r="L17" i="15" s="1"/>
  <c r="B18" i="15"/>
  <c r="C18" i="15" s="1"/>
  <c r="B19" i="15"/>
  <c r="C19" i="15" s="1"/>
  <c r="B20" i="15"/>
  <c r="C20" i="15"/>
  <c r="B16" i="13"/>
  <c r="B24" i="13"/>
  <c r="I24" i="13" s="1"/>
  <c r="B23" i="13"/>
  <c r="C23" i="13" s="1"/>
  <c r="B22" i="13"/>
  <c r="C22" i="13" s="1"/>
  <c r="B20" i="13"/>
  <c r="C20" i="13" s="1"/>
  <c r="B19" i="13"/>
  <c r="C19" i="13" s="1"/>
  <c r="C23" i="1"/>
  <c r="F9" i="17"/>
  <c r="C16" i="10"/>
  <c r="F17" i="1"/>
  <c r="D67" i="1"/>
  <c r="D66" i="1"/>
  <c r="C66" i="1"/>
  <c r="C64" i="1"/>
  <c r="C55" i="1"/>
  <c r="A207" i="12"/>
  <c r="C11" i="10" s="1"/>
  <c r="C51" i="16"/>
  <c r="C49" i="16"/>
  <c r="C50" i="16" s="1"/>
  <c r="C52" i="16" s="1"/>
  <c r="C51" i="13"/>
  <c r="C49" i="13"/>
  <c r="C50" i="13" s="1"/>
  <c r="C52" i="13" s="1"/>
  <c r="B13" i="12"/>
  <c r="B19" i="17" s="1"/>
  <c r="C24" i="16"/>
  <c r="G56" i="1"/>
  <c r="G65" i="1" s="1"/>
  <c r="B28" i="13"/>
  <c r="C19"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C44" i="13"/>
  <c r="I10" i="13"/>
  <c r="F27" i="13"/>
  <c r="F10" i="13"/>
  <c r="L27" i="15"/>
  <c r="I27" i="13"/>
  <c r="L10" i="13"/>
  <c r="L27" i="13"/>
  <c r="G62" i="1"/>
  <c r="G60" i="1"/>
  <c r="F23" i="13"/>
  <c r="C26" i="16"/>
  <c r="C23" i="15"/>
  <c r="C18" i="13"/>
  <c r="C24" i="13"/>
  <c r="C12" i="13"/>
  <c r="C11" i="16"/>
  <c r="F13" i="13"/>
  <c r="F15" i="13"/>
  <c r="F19" i="13"/>
  <c r="F17" i="13"/>
  <c r="I12" i="13"/>
  <c r="F14" i="13"/>
  <c r="F20" i="15"/>
  <c r="F22" i="15"/>
  <c r="F12" i="15"/>
  <c r="F13" i="15"/>
  <c r="F23" i="15"/>
  <c r="F26" i="15"/>
  <c r="F16" i="15"/>
  <c r="F19" i="15"/>
  <c r="F17" i="15"/>
  <c r="F18" i="15"/>
  <c r="F26" i="16"/>
  <c r="F12" i="16"/>
  <c r="F18" i="16"/>
  <c r="F14" i="16"/>
  <c r="F24" i="16"/>
  <c r="F20" i="16"/>
  <c r="F13" i="16"/>
  <c r="F19" i="16"/>
  <c r="F12" i="13"/>
  <c r="L24" i="13"/>
  <c r="I19" i="13"/>
  <c r="I19" i="16"/>
  <c r="I21" i="13"/>
  <c r="F26" i="13"/>
  <c r="I23" i="13"/>
  <c r="I16" i="16"/>
  <c r="I13" i="16"/>
  <c r="L25" i="13"/>
  <c r="I20" i="13"/>
  <c r="I22" i="13"/>
  <c r="I14" i="13"/>
  <c r="L19" i="13"/>
  <c r="I25" i="16"/>
  <c r="I21" i="16"/>
  <c r="I26" i="16"/>
  <c r="L26" i="16"/>
  <c r="L26" i="13"/>
  <c r="L25" i="16"/>
  <c r="L23" i="13"/>
  <c r="I23" i="15"/>
  <c r="I21" i="15"/>
  <c r="L16" i="16"/>
  <c r="I18" i="16"/>
  <c r="I18" i="15"/>
  <c r="I20" i="16"/>
  <c r="I20" i="15"/>
  <c r="L20" i="13"/>
  <c r="I19" i="15"/>
  <c r="I24" i="16"/>
  <c r="L22" i="13"/>
  <c r="I22" i="15"/>
  <c r="I17" i="16"/>
  <c r="I17" i="15"/>
  <c r="L14" i="13"/>
  <c r="L13" i="15"/>
  <c r="I13" i="15"/>
  <c r="L12" i="13"/>
  <c r="I12" i="15"/>
  <c r="I12" i="16"/>
  <c r="L12" i="16"/>
  <c r="L23" i="15"/>
  <c r="L21" i="15"/>
  <c r="L18" i="15"/>
  <c r="L20" i="15"/>
  <c r="L20" i="16"/>
  <c r="L19" i="15"/>
  <c r="L24" i="16"/>
  <c r="L22" i="15"/>
  <c r="L17" i="16"/>
  <c r="L13" i="16"/>
  <c r="L14" i="15"/>
  <c r="L12" i="15"/>
  <c r="C17" i="15" l="1"/>
  <c r="I14" i="15"/>
  <c r="I17" i="13"/>
  <c r="F17" i="16"/>
  <c r="L17" i="13"/>
  <c r="F14" i="15"/>
  <c r="F22" i="13"/>
  <c r="C13" i="13"/>
  <c r="C22" i="16"/>
  <c r="I22" i="16"/>
  <c r="E72" i="16"/>
  <c r="E10" i="16" s="1"/>
  <c r="V10" i="16" s="1"/>
  <c r="H72" i="15"/>
  <c r="B72" i="15"/>
  <c r="A6" i="15" s="1"/>
  <c r="O4" i="15" s="1"/>
  <c r="K72" i="13"/>
  <c r="H72" i="13"/>
  <c r="G68" i="1"/>
  <c r="G67" i="1"/>
  <c r="G69" i="1"/>
  <c r="L28" i="16"/>
  <c r="F28" i="16"/>
  <c r="L13" i="13"/>
  <c r="I25" i="15"/>
  <c r="L22" i="16"/>
  <c r="L15" i="13"/>
  <c r="I15" i="13"/>
  <c r="E72" i="13"/>
  <c r="E16" i="13" s="1"/>
  <c r="V16" i="13" s="1"/>
  <c r="E71" i="15"/>
  <c r="G57" i="1"/>
  <c r="C26" i="13"/>
  <c r="L21" i="16"/>
  <c r="E71" i="13"/>
  <c r="C21" i="13"/>
  <c r="H72" i="16"/>
  <c r="B72" i="13"/>
  <c r="A6" i="13" s="1"/>
  <c r="O4" i="13" s="1"/>
  <c r="G61" i="1"/>
  <c r="F16" i="16"/>
  <c r="F25" i="15"/>
  <c r="F21" i="13"/>
  <c r="K72" i="15"/>
  <c r="E71" i="16"/>
  <c r="O31" i="16" s="1"/>
  <c r="B72" i="16"/>
  <c r="A6" i="16" s="1"/>
  <c r="O4" i="16" s="1"/>
  <c r="G59" i="1"/>
  <c r="E16" i="16"/>
  <c r="V16" i="16" s="1"/>
  <c r="F24" i="13"/>
  <c r="E72" i="15"/>
  <c r="E16" i="15" s="1"/>
  <c r="V16" i="15" s="1"/>
  <c r="K72" i="16"/>
  <c r="C25" i="13"/>
  <c r="G58" i="1"/>
  <c r="C25" i="15"/>
  <c r="F25" i="13"/>
  <c r="AA40" i="12"/>
  <c r="I16" i="13"/>
  <c r="C16" i="13"/>
  <c r="L16" i="13"/>
  <c r="F16" i="13"/>
  <c r="L24" i="15"/>
  <c r="C24" i="15"/>
  <c r="I24" i="15"/>
  <c r="F24" i="15"/>
  <c r="F67" i="1"/>
  <c r="I15" i="16"/>
  <c r="C15" i="16"/>
  <c r="L27" i="16"/>
  <c r="I27" i="16"/>
  <c r="F27" i="16"/>
  <c r="L15" i="16"/>
  <c r="L29" i="16"/>
  <c r="I29" i="16"/>
  <c r="F29" i="16"/>
  <c r="I23" i="16"/>
  <c r="C23" i="16"/>
  <c r="F23" i="16"/>
  <c r="L23" i="16"/>
  <c r="F15" i="16"/>
  <c r="C53" i="13"/>
  <c r="E67" i="1"/>
  <c r="I16" i="15"/>
  <c r="C16" i="15"/>
  <c r="L16" i="15"/>
  <c r="L26" i="15"/>
  <c r="C26" i="15"/>
  <c r="I26" i="15"/>
  <c r="E20" i="16"/>
  <c r="E19" i="16"/>
  <c r="E25" i="16"/>
  <c r="E11" i="16"/>
  <c r="F11" i="16" s="1"/>
  <c r="E27" i="16"/>
  <c r="V27" i="16" s="1"/>
  <c r="E57" i="1"/>
  <c r="E22" i="16"/>
  <c r="C14" i="13"/>
  <c r="F15" i="15"/>
  <c r="C15" i="15"/>
  <c r="L15" i="15"/>
  <c r="C27" i="15"/>
  <c r="F27" i="15"/>
  <c r="E13" i="16"/>
  <c r="E12" i="16"/>
  <c r="I27" i="15"/>
  <c r="F28" i="15"/>
  <c r="F18" i="13"/>
  <c r="L18" i="13"/>
  <c r="I18" i="13"/>
  <c r="C25" i="16"/>
  <c r="F25" i="16"/>
  <c r="F20" i="13"/>
  <c r="F21" i="15"/>
  <c r="C21" i="15"/>
  <c r="I28" i="16"/>
  <c r="AA39" i="12"/>
  <c r="I14" i="16"/>
  <c r="L14" i="16"/>
  <c r="C14" i="16"/>
  <c r="L19" i="16"/>
  <c r="C19" i="16"/>
  <c r="F57" i="1"/>
  <c r="E26" i="16" l="1"/>
  <c r="H26" i="16" s="1"/>
  <c r="Y26" i="16" s="1"/>
  <c r="E14" i="16"/>
  <c r="E29" i="16"/>
  <c r="V29" i="16" s="1"/>
  <c r="E15" i="16"/>
  <c r="V15" i="16" s="1"/>
  <c r="E18" i="16"/>
  <c r="V18" i="16" s="1"/>
  <c r="E22" i="13"/>
  <c r="H22" i="13" s="1"/>
  <c r="Y22" i="13" s="1"/>
  <c r="E28" i="16"/>
  <c r="H18" i="16"/>
  <c r="Y18" i="16" s="1"/>
  <c r="H10" i="16"/>
  <c r="Y10" i="16" s="1"/>
  <c r="E21" i="16"/>
  <c r="H21" i="16" s="1"/>
  <c r="Y21" i="16" s="1"/>
  <c r="E24" i="16"/>
  <c r="K24" i="16" s="1"/>
  <c r="AB24" i="16" s="1"/>
  <c r="E23" i="16"/>
  <c r="V23" i="16" s="1"/>
  <c r="E17" i="16"/>
  <c r="H17" i="16" s="1"/>
  <c r="Y17" i="16" s="1"/>
  <c r="H16" i="16"/>
  <c r="Y16" i="16" s="1"/>
  <c r="E15" i="13"/>
  <c r="E24" i="13"/>
  <c r="V24" i="13" s="1"/>
  <c r="E12" i="13"/>
  <c r="V12" i="13" s="1"/>
  <c r="E18" i="13"/>
  <c r="V18" i="13" s="1"/>
  <c r="H24" i="16"/>
  <c r="Y24" i="16" s="1"/>
  <c r="E23" i="13"/>
  <c r="H12" i="16"/>
  <c r="Y12" i="16" s="1"/>
  <c r="H25" i="16"/>
  <c r="Y25" i="16" s="1"/>
  <c r="E29" i="13"/>
  <c r="F29" i="13" s="1"/>
  <c r="H11" i="16"/>
  <c r="E15" i="15"/>
  <c r="V15" i="15" s="1"/>
  <c r="E25" i="15"/>
  <c r="V25" i="15" s="1"/>
  <c r="E22" i="15"/>
  <c r="H22" i="15" s="1"/>
  <c r="H23" i="16"/>
  <c r="Y23" i="16" s="1"/>
  <c r="C53" i="15"/>
  <c r="E24" i="15"/>
  <c r="E28" i="15"/>
  <c r="V28" i="15" s="1"/>
  <c r="E27" i="15"/>
  <c r="H27" i="15" s="1"/>
  <c r="Y27" i="15" s="1"/>
  <c r="E23" i="15"/>
  <c r="H23" i="15" s="1"/>
  <c r="Y23" i="15" s="1"/>
  <c r="E17" i="15"/>
  <c r="V17" i="15" s="1"/>
  <c r="E14" i="15"/>
  <c r="H14" i="15" s="1"/>
  <c r="Y14" i="15" s="1"/>
  <c r="G66" i="1"/>
  <c r="C40" i="16"/>
  <c r="C47" i="16" s="1"/>
  <c r="E12" i="15"/>
  <c r="V12" i="15" s="1"/>
  <c r="E21" i="15"/>
  <c r="V21" i="15" s="1"/>
  <c r="O33" i="16"/>
  <c r="P33" i="16" s="1"/>
  <c r="O32" i="16"/>
  <c r="P32" i="16" s="1"/>
  <c r="C53" i="16"/>
  <c r="E25" i="13"/>
  <c r="E26" i="13"/>
  <c r="E19" i="13"/>
  <c r="E21" i="13"/>
  <c r="E20" i="13"/>
  <c r="E17" i="13"/>
  <c r="E13" i="13"/>
  <c r="H13" i="13" s="1"/>
  <c r="Y13" i="13" s="1"/>
  <c r="E14" i="13"/>
  <c r="E11" i="13"/>
  <c r="F11" i="13" s="1"/>
  <c r="E27" i="13"/>
  <c r="E10" i="13"/>
  <c r="O33" i="15"/>
  <c r="P33" i="15" s="1"/>
  <c r="O31" i="15"/>
  <c r="E20" i="15"/>
  <c r="H20" i="15" s="1"/>
  <c r="Y20" i="15" s="1"/>
  <c r="E11" i="15"/>
  <c r="K23" i="16"/>
  <c r="AB23" i="16" s="1"/>
  <c r="E18" i="15"/>
  <c r="H18" i="15" s="1"/>
  <c r="Y18" i="15" s="1"/>
  <c r="E26" i="15"/>
  <c r="E10" i="15"/>
  <c r="H10" i="15" s="1"/>
  <c r="Y10" i="15" s="1"/>
  <c r="E19" i="15"/>
  <c r="H19" i="15" s="1"/>
  <c r="Y19" i="15" s="1"/>
  <c r="O32" i="15"/>
  <c r="P32" i="15" s="1"/>
  <c r="E29" i="15"/>
  <c r="F29" i="15" s="1"/>
  <c r="E13" i="15"/>
  <c r="V13" i="15" s="1"/>
  <c r="E28" i="13"/>
  <c r="F28" i="13" s="1"/>
  <c r="O33" i="13"/>
  <c r="P33" i="13" s="1"/>
  <c r="O31" i="13"/>
  <c r="O32" i="13"/>
  <c r="P32" i="13" s="1"/>
  <c r="I28" i="13"/>
  <c r="C31" i="13"/>
  <c r="C31" i="15"/>
  <c r="V19" i="16"/>
  <c r="H19" i="16"/>
  <c r="Y19" i="16" s="1"/>
  <c r="V22" i="16"/>
  <c r="H12" i="15"/>
  <c r="Y12" i="15" s="1"/>
  <c r="H11" i="15"/>
  <c r="H16" i="13"/>
  <c r="A44" i="16"/>
  <c r="A44" i="13"/>
  <c r="A44" i="15"/>
  <c r="F8" i="17"/>
  <c r="F10" i="17" s="1"/>
  <c r="C40" i="15"/>
  <c r="C47" i="15" s="1"/>
  <c r="F66" i="1"/>
  <c r="F68" i="1" s="1"/>
  <c r="V28" i="16"/>
  <c r="V23" i="13"/>
  <c r="H23" i="13"/>
  <c r="Y23" i="13" s="1"/>
  <c r="H22" i="16"/>
  <c r="Y22" i="16" s="1"/>
  <c r="H16" i="15"/>
  <c r="H13" i="15"/>
  <c r="Y13" i="15" s="1"/>
  <c r="A37" i="16"/>
  <c r="A37" i="15"/>
  <c r="A37" i="13"/>
  <c r="V20" i="16"/>
  <c r="V14" i="16"/>
  <c r="V24" i="16"/>
  <c r="V22" i="13"/>
  <c r="V11" i="16"/>
  <c r="H15" i="13"/>
  <c r="Y15" i="13" s="1"/>
  <c r="V15" i="13"/>
  <c r="F31" i="16"/>
  <c r="H24" i="13"/>
  <c r="Y24" i="13" s="1"/>
  <c r="V12" i="16"/>
  <c r="H29" i="13"/>
  <c r="C40" i="13"/>
  <c r="C47" i="13" s="1"/>
  <c r="C54" i="13" s="1"/>
  <c r="D8" i="17"/>
  <c r="D10" i="17" s="1"/>
  <c r="E66" i="1"/>
  <c r="E68" i="1" s="1"/>
  <c r="E69" i="1" s="1"/>
  <c r="V25" i="16"/>
  <c r="H15" i="16"/>
  <c r="Y15" i="16" s="1"/>
  <c r="H28" i="16"/>
  <c r="Y28" i="16" s="1"/>
  <c r="V14" i="15"/>
  <c r="H27" i="16"/>
  <c r="Y27" i="16" s="1"/>
  <c r="V13" i="16"/>
  <c r="H13" i="16"/>
  <c r="Y13" i="16" s="1"/>
  <c r="C31" i="16"/>
  <c r="V17" i="16"/>
  <c r="H20" i="16"/>
  <c r="Y20" i="16" s="1"/>
  <c r="H25" i="15"/>
  <c r="Y25" i="15" s="1"/>
  <c r="V23" i="15"/>
  <c r="K15" i="16"/>
  <c r="AB15" i="16" s="1"/>
  <c r="H17" i="15" l="1"/>
  <c r="Y17" i="15" s="1"/>
  <c r="K18" i="16"/>
  <c r="AB18" i="16" s="1"/>
  <c r="K20" i="15"/>
  <c r="AB20" i="15" s="1"/>
  <c r="V20" i="15"/>
  <c r="H29" i="16"/>
  <c r="Y11" i="15"/>
  <c r="I11" i="15"/>
  <c r="F31" i="13"/>
  <c r="F11" i="15"/>
  <c r="V11" i="15" s="1"/>
  <c r="Y11" i="16"/>
  <c r="I11" i="16"/>
  <c r="I31" i="16" s="1"/>
  <c r="H18" i="13"/>
  <c r="Y18" i="13" s="1"/>
  <c r="V21" i="16"/>
  <c r="H14" i="16"/>
  <c r="Y14" i="16" s="1"/>
  <c r="H12" i="13"/>
  <c r="Y12" i="13" s="1"/>
  <c r="K21" i="16"/>
  <c r="AB21" i="16" s="1"/>
  <c r="K10" i="16"/>
  <c r="AB10" i="16" s="1"/>
  <c r="H28" i="15"/>
  <c r="I28" i="15" s="1"/>
  <c r="V26" i="16"/>
  <c r="K12" i="16"/>
  <c r="AB12" i="16" s="1"/>
  <c r="K16" i="16"/>
  <c r="AB16" i="16" s="1"/>
  <c r="K25" i="16"/>
  <c r="AB25" i="16" s="1"/>
  <c r="V22" i="15"/>
  <c r="K15" i="13"/>
  <c r="AB15" i="13" s="1"/>
  <c r="F69" i="1"/>
  <c r="C54" i="15"/>
  <c r="C54" i="16"/>
  <c r="Y22" i="15"/>
  <c r="K22" i="15"/>
  <c r="AB22" i="15" s="1"/>
  <c r="K11" i="16"/>
  <c r="H29" i="15"/>
  <c r="K29" i="15" s="1"/>
  <c r="K14" i="15"/>
  <c r="AB14" i="15" s="1"/>
  <c r="K17" i="15"/>
  <c r="AB17" i="15" s="1"/>
  <c r="H15" i="15"/>
  <c r="Y15" i="15" s="1"/>
  <c r="K26" i="16"/>
  <c r="AB26" i="16" s="1"/>
  <c r="K12" i="15"/>
  <c r="AB12" i="15" s="1"/>
  <c r="V28" i="13"/>
  <c r="H28" i="13"/>
  <c r="Y28" i="13" s="1"/>
  <c r="H21" i="15"/>
  <c r="Y21" i="15" s="1"/>
  <c r="K19" i="16"/>
  <c r="AB19" i="16" s="1"/>
  <c r="W10" i="16"/>
  <c r="X10" i="16" s="1"/>
  <c r="W11" i="16" s="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K18" i="15"/>
  <c r="AB18" i="15" s="1"/>
  <c r="V18" i="15"/>
  <c r="V27" i="13"/>
  <c r="H27" i="13"/>
  <c r="K26" i="13"/>
  <c r="AB26" i="13" s="1"/>
  <c r="V26" i="13"/>
  <c r="V17" i="13"/>
  <c r="V20" i="13"/>
  <c r="H20" i="13"/>
  <c r="Y20" i="13" s="1"/>
  <c r="K13" i="15"/>
  <c r="AB13" i="15" s="1"/>
  <c r="K10" i="15"/>
  <c r="AB10" i="15" s="1"/>
  <c r="V11" i="13"/>
  <c r="H11" i="13"/>
  <c r="I11" i="13" s="1"/>
  <c r="V25" i="13"/>
  <c r="H25" i="13"/>
  <c r="H17" i="13"/>
  <c r="Y17" i="13" s="1"/>
  <c r="V14" i="13"/>
  <c r="H14" i="13"/>
  <c r="Y14" i="13" s="1"/>
  <c r="K22" i="13"/>
  <c r="AB22" i="13" s="1"/>
  <c r="H26" i="13"/>
  <c r="Y26" i="13" s="1"/>
  <c r="V13" i="13"/>
  <c r="K13" i="13"/>
  <c r="AB13" i="13" s="1"/>
  <c r="V24" i="15"/>
  <c r="H24" i="15"/>
  <c r="Y29" i="15"/>
  <c r="I29" i="15"/>
  <c r="Y29" i="13"/>
  <c r="I29" i="13"/>
  <c r="L28" i="13"/>
  <c r="H13" i="17"/>
  <c r="H15" i="17" s="1"/>
  <c r="K27" i="16"/>
  <c r="AB27" i="16" s="1"/>
  <c r="Y16" i="13"/>
  <c r="K16" i="13"/>
  <c r="AB16" i="13" s="1"/>
  <c r="K13" i="16"/>
  <c r="AB13" i="16" s="1"/>
  <c r="K20" i="16"/>
  <c r="AB20" i="16" s="1"/>
  <c r="K23" i="13"/>
  <c r="AB23" i="13" s="1"/>
  <c r="K17" i="16"/>
  <c r="AB17" i="16" s="1"/>
  <c r="Y28" i="15"/>
  <c r="K28" i="15"/>
  <c r="K24" i="13"/>
  <c r="AB24" i="13" s="1"/>
  <c r="K25" i="15"/>
  <c r="AB25" i="15" s="1"/>
  <c r="Y16" i="15"/>
  <c r="K16" i="15"/>
  <c r="AB16" i="15" s="1"/>
  <c r="K28" i="16"/>
  <c r="AB28" i="16" s="1"/>
  <c r="K29" i="13"/>
  <c r="K11" i="15"/>
  <c r="Y29" i="16" l="1"/>
  <c r="Y31" i="16" s="1"/>
  <c r="K29" i="16"/>
  <c r="AB29" i="16" s="1"/>
  <c r="K14" i="16"/>
  <c r="AB14" i="16" s="1"/>
  <c r="V33" i="16"/>
  <c r="I31" i="13"/>
  <c r="V31" i="16"/>
  <c r="I31" i="15"/>
  <c r="F31" i="15"/>
  <c r="AB11" i="15"/>
  <c r="L11" i="15"/>
  <c r="W11" i="15"/>
  <c r="X11" i="15" s="1"/>
  <c r="W12" i="15" s="1"/>
  <c r="AB11" i="16"/>
  <c r="AB31" i="16" s="1"/>
  <c r="L11" i="16"/>
  <c r="L31" i="16" s="1"/>
  <c r="K12" i="13"/>
  <c r="AB12" i="13" s="1"/>
  <c r="K18" i="13"/>
  <c r="AB18" i="13" s="1"/>
  <c r="K15" i="15"/>
  <c r="AB15" i="15" s="1"/>
  <c r="K21" i="15"/>
  <c r="AB21" i="15" s="1"/>
  <c r="K20" i="13"/>
  <c r="AB20" i="13" s="1"/>
  <c r="K28" i="13"/>
  <c r="AB28" i="13" s="1"/>
  <c r="W11" i="13"/>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K17" i="13"/>
  <c r="AB17" i="13" s="1"/>
  <c r="AB29" i="15"/>
  <c r="L29" i="15"/>
  <c r="AB28" i="15"/>
  <c r="L28" i="15"/>
  <c r="AB29" i="13"/>
  <c r="L29" i="13"/>
  <c r="AB33" i="16"/>
  <c r="X11" i="16"/>
  <c r="W12" i="16" s="1"/>
  <c r="Y33" i="16" l="1"/>
  <c r="Y38" i="16"/>
  <c r="AB11" i="13"/>
  <c r="AB33" i="13" s="1"/>
  <c r="L11" i="13"/>
  <c r="L31" i="13"/>
  <c r="Y33" i="13"/>
  <c r="Y31" i="15"/>
  <c r="AB33" i="15"/>
  <c r="Y31" i="13"/>
  <c r="L31" i="15"/>
  <c r="AB31" i="15"/>
  <c r="C34" i="16"/>
  <c r="X12" i="16"/>
  <c r="X12" i="15"/>
  <c r="W13" i="15" s="1"/>
  <c r="X12" i="13"/>
  <c r="W13" i="13" s="1"/>
  <c r="AB31" i="13" l="1"/>
  <c r="X13" i="13"/>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C21" authorId="2" shapeId="0" xr:uid="{D5741F3F-FC74-429A-8DA1-E8FB2B1DDB16}">
      <text>
        <r>
          <rPr>
            <sz val="9"/>
            <color indexed="81"/>
            <rFont val="Tahoma"/>
            <family val="2"/>
          </rPr>
          <t xml:space="preserve">Premera's list of covered drugs is located at:
www.premera.com/documents/052149_2023.pdf
Preferred generics are in tier 1; preferred brand name drugs are in tier 2; preferred specialty drugs are in tier 3. Non-preferred drugs are in tier 4.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631497D2-52D8-4457-806F-7AC16E776DD3}">
      <text>
        <r>
          <rPr>
            <sz val="9"/>
            <color indexed="81"/>
            <rFont val="Tahoma"/>
            <family val="2"/>
          </rPr>
          <t>2023 maximum annual contributions are $3,850 for single coverage and $7,750 for those electing family coverage. In addition, employees 55 years or older may contribute an additional $1,000 per year. Maximums include contributions from all sources (employee and employer) and are calculated on a calendar year basis.</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<sst xmlns="http://schemas.openxmlformats.org/spreadsheetml/2006/main" count="750" uniqueCount="269">
  <si>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</si>
  <si>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</si>
  <si>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</si>
  <si>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</si>
  <si>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</si>
  <si>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</si>
  <si>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</si>
  <si>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</si>
  <si>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</si>
  <si>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</si>
  <si>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</si>
  <si>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</si>
  <si>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</si>
  <si>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</si>
  <si>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</si>
  <si>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</si>
  <si>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</si>
  <si>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</si>
  <si>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</si>
  <si>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</si>
  <si>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</si>
  <si>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</si>
  <si>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</si>
  <si>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</si>
  <si>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</si>
  <si>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</si>
  <si>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</si>
  <si>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</si>
  <si>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</si>
  <si>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</si>
  <si>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</si>
  <si>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</si>
  <si>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</si>
  <si>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</si>
  <si>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</si>
  <si>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</si>
  <si>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</si>
  <si>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</si>
  <si>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</si>
  <si>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</si>
  <si>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</si>
  <si>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</si>
  <si>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</si>
  <si>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</si>
  <si>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</si>
  <si>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</si>
  <si>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</si>
  <si>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</si>
  <si>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</si>
  <si>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</si>
  <si>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</si>
  <si>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</si>
  <si>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</si>
  <si>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</si>
  <si>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</si>
  <si>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</si>
  <si>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</si>
  <si>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</si>
  <si>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</si>
  <si>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</si>
  <si>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</si>
  <si>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</si>
  <si>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</si>
  <si>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</si>
  <si>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</si>
  <si>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</si>
  <si>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</si>
  <si>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</si>
  <si>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</si>
  <si>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</si>
  <si>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</si>
  <si>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</si>
  <si>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</si>
  <si>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</si>
  <si>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</si>
  <si>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</si>
  <si>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</si>
  <si>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</si>
  <si>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</si>
  <si>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</si>
  <si>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</si>
  <si>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</si>
  <si>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</si>
  <si>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</si>
  <si>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</si>
  <si>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</si>
  <si>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</si>
  <si>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</si>
  <si>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</si>
  <si>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</si>
  <si>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</si>
  <si>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</si>
  <si>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</si>
  <si>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</si>
  <si>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</si>
  <si>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</si>
  <si>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</si>
  <si>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</si>
  <si>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</si>
  <si>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</si>
  <si>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</si>
  <si>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</si>
  <si>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</si>
  <si>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</si>
  <si>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</si>
  <si>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</si>
  <si>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</si>
  <si>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</si>
  <si>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</si>
  <si>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</si>
  <si>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</si>
  <si>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</si>
  <si>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</si>
  <si>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</si>
  <si>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</si>
  <si>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</si>
  <si>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</si>
  <si>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</si>
  <si>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</si>
  <si>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</si>
  <si>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</si>
  <si>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</si>
  <si>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</si>
  <si>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</si>
  <si>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</si>
  <si>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</si>
  <si>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</si>
  <si>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</si>
  <si>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</si>
  <si>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</si>
  <si>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</si>
  <si>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</si>
  <si>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</si>
  <si>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</si>
  <si>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</si>
  <si>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</si>
  <si>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</si>
  <si>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</si>
  <si>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</si>
  <si>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</si>
  <si>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</si>
  <si>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</si>
  <si>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</si>
  <si>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</si>
  <si>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</si>
  <si>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Worst Case Analysis</t>
  </si>
  <si>
    <t>Contributions</t>
  </si>
  <si>
    <t>HSA Reimbursment</t>
  </si>
  <si>
    <t>mems</t>
  </si>
  <si>
    <t>Fam Mems</t>
  </si>
  <si>
    <t>Embedded OOP Max</t>
  </si>
  <si>
    <t>Fam Max</t>
  </si>
  <si>
    <t>Effective Max</t>
  </si>
  <si>
    <t>-</t>
  </si>
  <si>
    <t>Preventive Care</t>
  </si>
  <si>
    <t>None (dw)</t>
  </si>
  <si>
    <t>Outpatient Lab, X-Ray</t>
  </si>
  <si>
    <t>Inpatient Hospital</t>
  </si>
  <si>
    <t>Outpatient Surgery</t>
  </si>
  <si>
    <t>Out-of-network Summary</t>
  </si>
  <si>
    <t>Green Diamond Resource Company</t>
  </si>
  <si>
    <t>Green Diamond's</t>
  </si>
  <si>
    <t>HSP</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</si>
  <si>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</si>
  <si>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</si>
  <si>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</si>
  <si>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</si>
  <si>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t>In-network Summary</t>
  </si>
  <si>
    <t>Single Deductible</t>
  </si>
  <si>
    <t>Family Deductible</t>
  </si>
  <si>
    <t>$4,500</t>
  </si>
  <si>
    <t>$9,000</t>
  </si>
  <si>
    <t>Employer Contribution to HSA</t>
  </si>
  <si>
    <t>Funding Schedule</t>
  </si>
  <si>
    <t>Per Pay</t>
  </si>
  <si>
    <t>Single - Annual</t>
  </si>
  <si>
    <t>Family - Annual</t>
  </si>
  <si>
    <t>Single - Per Pay</t>
  </si>
  <si>
    <t>Family - Per Pay</t>
  </si>
  <si>
    <t>PCP Office Visit (non-preventive)</t>
  </si>
  <si>
    <t>Specialist Office Visit</t>
  </si>
  <si>
    <t>Formulary Generic</t>
  </si>
  <si>
    <t>$10</t>
  </si>
  <si>
    <t>Formulary Brand</t>
  </si>
  <si>
    <t>$30</t>
  </si>
  <si>
    <t>Non-Formulary, Generic or Brand</t>
  </si>
  <si>
    <t>30%</t>
  </si>
  <si>
    <t>$25</t>
  </si>
  <si>
    <t>$75</t>
  </si>
  <si>
    <t xml:space="preserve">Formulary </t>
  </si>
  <si>
    <t>$50</t>
  </si>
  <si>
    <t>Non-Formulary</t>
  </si>
  <si>
    <t>$1,500</t>
  </si>
  <si>
    <t>Member Coinsurance (most services)</t>
  </si>
  <si>
    <t>40%</t>
  </si>
  <si>
    <t>$18,000</t>
  </si>
  <si>
    <t>HIDE</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</si>
  <si>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</si>
  <si>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</si>
  <si>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</si>
  <si>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</si>
  <si>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</si>
  <si>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</si>
  <si>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</si>
  <si>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</si>
  <si>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</si>
  <si>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</si>
  <si>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</si>
  <si>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</si>
  <si>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</si>
  <si>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</si>
  <si>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</si>
  <si>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</si>
  <si>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</si>
  <si>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</si>
  <si>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</si>
  <si>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</si>
  <si>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</si>
  <si>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</si>
  <si>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</si>
  <si>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</si>
  <si>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Centers of Excellence</t>
  </si>
  <si>
    <t>Cardiac, Orthopedics, Spine</t>
  </si>
  <si>
    <t>Used last year</t>
  </si>
  <si>
    <t>Enter the estimated total cost (in dollars) for other expected claims that you have not accounted for in previous questions.  Include yourself and your covered family members when making your estimate.</t>
  </si>
  <si>
    <t>Single OOP Maximum</t>
  </si>
  <si>
    <t>Family OOP Maximum</t>
  </si>
  <si>
    <t>Mail Order Prescription Drugs</t>
  </si>
  <si>
    <t>Specialty Prescription Drugs</t>
  </si>
  <si>
    <t>$500</t>
  </si>
  <si>
    <t>$3,000</t>
  </si>
  <si>
    <t>$6,000</t>
  </si>
  <si>
    <t>$25 (dw)</t>
  </si>
  <si>
    <t>$40 (dw)</t>
  </si>
  <si>
    <t>$1,000</t>
  </si>
  <si>
    <t>$12,000</t>
  </si>
  <si>
    <t>ER HSA/HRA contrib (annual)</t>
  </si>
  <si>
    <t>2023-24</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</si>
  <si>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 Our plan uses the E4 Essentials formulary.</t>
  </si>
  <si>
    <t>Based on your entries, your total maximum annual cost for each plan is:</t>
  </si>
  <si>
    <t>Chiro/Acupuncture</t>
  </si>
  <si>
    <t>Chiro/Acupuncture/Massage</t>
  </si>
  <si>
    <t>Your 2023-24 Estimated Cost, Based on Your Responses</t>
  </si>
  <si>
    <t>- If you are covering a family, this tool uses a simple algorithm to distribute costs between family members.</t>
  </si>
  <si>
    <t xml:space="preserve">Additional guidance and instructions are available on the 'Cost Estimator' tab by holding your cursor over cells with red triangles.  </t>
  </si>
  <si>
    <t>Question #4: Enter the number of times you expect to have lab tests or x-rays during the plan year.</t>
  </si>
  <si>
    <t>Question #6: Enter the total cost, in dollars, for any other health care expenses you expect during the plan year.</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</si>
  <si>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</si>
  <si>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orange highlighted section at the bottom of the 'Cost Estimator' tab provides an estimate of your "worst case" scenario. These figures assume you have a large claim(s) that results in you having to pay your maximum out-of-pocket expense. The estimate also includes your employee premiums. Your cost could be higher if you receive care outside Premera’s network.</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</si>
  <si>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he number of visits. Do not include preventive care visits that will be covered at 100%.</t>
  </si>
  <si>
    <t xml:space="preserve">Premera Blue Cross Medical/Pharmacy Plan Summary </t>
  </si>
  <si>
    <t>$3,200</t>
  </si>
  <si>
    <t>$6,400</t>
  </si>
  <si>
    <t>Ded, 20%</t>
  </si>
  <si>
    <t>Telehealth Vision</t>
  </si>
  <si>
    <t>$10-$40 (dw)</t>
  </si>
  <si>
    <t>Surgical Office Visit</t>
  </si>
  <si>
    <t>$12,800</t>
  </si>
  <si>
    <t>In-network Medical Cost Shares</t>
  </si>
  <si>
    <t>Retail Prescription Drugs</t>
  </si>
  <si>
    <t>Question #5: Enter the total cost, in dollars, for any outpatient procedures you expect to have during the plan year. "Total cost" means the total amount the insurance company allows the provider to charge. It does not mean your out-of-pocket cost (what the provider bills you). You may find the treatment cost estimator available at www.premera.com useful for this purpose.</t>
  </si>
  <si>
    <r>
      <t xml:space="preserve">On the "Cost Estimator" tab, answer questions 1-6.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in the Formulas menu is set to "Automatic" before beginning.</t>
    </r>
  </si>
  <si>
    <r>
      <t xml:space="preserve">Once you have answered the six questions, the estimates of your annual cost for each plan are available in the blue highlighted section towards the bottom of the 'Cost Estimator' tab. Please note this tool is designed to provide an </t>
    </r>
    <r>
      <rPr>
        <u/>
        <sz val="10"/>
        <rFont val="Calibri"/>
        <family val="2"/>
        <scheme val="minor"/>
      </rPr>
      <t>estimate</t>
    </r>
    <r>
      <rPr>
        <sz val="10"/>
        <rFont val="Calibri"/>
        <family val="2"/>
        <scheme val="minor"/>
      </rPr>
      <t>; your actual costs will likely vary. The tool does not guarantee that any particular services will be covered nor the level of coverage.</t>
    </r>
  </si>
  <si>
    <t xml:space="preserve">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t>
  </si>
  <si>
    <t xml:space="preserve">- You are covered for one full year. All cost estimates are annual figures. </t>
  </si>
  <si>
    <t>"Ded" = deductible; "(dw)" = deductible is waived</t>
  </si>
  <si>
    <t>If you use your Green Diamond's HSA contributions, your net maximum annual cost is:</t>
  </si>
  <si>
    <t>If you use Green Diamond's HSA contributions, your net estimated annual cost is:</t>
  </si>
  <si>
    <t>* Assumes you have a large claim(s) that results in meeting the plan's out-of-pocket maximum.  Includes your cost-sharing and employee premiums.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</si>
</sst>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6">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b/>
      <sz val="12"/>
      <color theme="0"/>
      <name val="Calibri"/>
      <family val="2"/>
      <scheme val="minor"/>
    </font>
    <font>
      <sz val="12"/>
      <color theme="0"/>
      <name val="Calibri"/>
      <family val="2"/>
      <scheme val="minor"/>
    </font>
    <font>
      <sz val="10"/>
      <color theme="0"/>
      <name val="Calibri"/>
      <family val="2"/>
      <scheme val="minor"/>
    </font>
    <font>
      <b/>
      <sz val="14"/>
      <color theme="0"/>
      <name val="Calibri"/>
      <family val="2"/>
      <scheme val="minor"/>
    </font>
    <font>
      <b/>
      <sz val="10"/>
      <color theme="0"/>
      <name val="Calibri"/>
      <family val="2"/>
      <scheme val="minor"/>
    </font>
    <font>
      <i/>
      <sz val="11"/>
      <color theme="0"/>
      <name val="Calibri"/>
      <family val="2"/>
      <scheme val="minor"/>
    </font>
  </fonts>
  <fills count="62">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rgb="FF2A7050"/>
        <bgColor indexed="64"/>
      </patternFill>
    </fill>
    <fill>
      <patternFill patternType="solid">
        <fgColor rgb="FFE57724"/>
        <bgColor indexed="64"/>
      </patternFill>
    </fill>
    <fill>
      <patternFill patternType="solid">
        <fgColor rgb="FF405885"/>
        <bgColor indexed="64"/>
      </patternFill>
    </fill>
    <fill>
      <patternFill patternType="solid">
        <fgColor rgb="FF00205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0"/>
      </left>
      <right style="thick">
        <color theme="0"/>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2" fillId="0" borderId="0"/>
    <xf numFmtId="10" fontId="55" fillId="3" borderId="1"/>
    <xf numFmtId="169" fontId="11" fillId="0" borderId="0"/>
    <xf numFmtId="170" fontId="11" fillId="0" borderId="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56" fillId="42" borderId="0" applyNumberFormat="0" applyBorder="0">
      <protection locked="0"/>
    </xf>
    <xf numFmtId="0" fontId="24" fillId="11" borderId="0" applyNumberFormat="0" applyBorder="0" applyAlignment="0" applyProtection="0"/>
    <xf numFmtId="3" fontId="5" fillId="43" borderId="0" applyNumberFormat="0"/>
    <xf numFmtId="0" fontId="57"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171" fontId="59" fillId="0" borderId="0" applyFill="0" applyBorder="0" applyAlignment="0"/>
    <xf numFmtId="171" fontId="59" fillId="0" borderId="0" applyFill="0" applyBorder="0" applyAlignment="0"/>
    <xf numFmtId="0" fontId="28" fillId="14" borderId="13" applyNumberFormat="0" applyAlignment="0" applyProtection="0"/>
    <xf numFmtId="0" fontId="30" fillId="15" borderId="16" applyNumberFormat="0" applyAlignment="0" applyProtection="0"/>
    <xf numFmtId="0" fontId="60" fillId="0" borderId="19">
      <alignment horizontal="centerContinuous"/>
    </xf>
    <xf numFmtId="38" fontId="5" fillId="43" borderId="0" applyFont="0" applyFill="0" applyBorder="0" applyAlignment="0" applyProtection="0"/>
    <xf numFmtId="40" fontId="5" fillId="43" borderId="0" applyFont="0" applyFill="0" applyBorder="0" applyAlignment="0" applyProtection="0"/>
    <xf numFmtId="172" fontId="61" fillId="0" borderId="0" applyFont="0" applyFill="0" applyBorder="0" applyAlignment="0" applyProtection="0"/>
    <xf numFmtId="3" fontId="62" fillId="0" borderId="0" applyFont="0" applyFill="0" applyBorder="0" applyAlignment="0" applyProtection="0"/>
    <xf numFmtId="0" fontId="63" fillId="0" borderId="0"/>
    <xf numFmtId="0" fontId="64" fillId="0" borderId="0" applyNumberFormat="0" applyAlignment="0">
      <alignment horizontal="left"/>
    </xf>
    <xf numFmtId="0" fontId="65" fillId="0" borderId="0"/>
    <xf numFmtId="0" fontId="63" fillId="0" borderId="0"/>
    <xf numFmtId="6" fontId="5" fillId="43" borderId="0" applyFont="0" applyFill="0" applyBorder="0" applyAlignment="0" applyProtection="0"/>
    <xf numFmtId="8" fontId="5" fillId="43" borderId="0" applyFont="0" applyFill="0" applyBorder="0" applyAlignment="0" applyProtection="0"/>
    <xf numFmtId="44" fontId="5" fillId="0" borderId="0" applyFont="0" applyFill="0" applyBorder="0" applyAlignment="0" applyProtection="0"/>
    <xf numFmtId="173" fontId="62" fillId="0" borderId="0" applyFont="0" applyFill="0" applyBorder="0" applyAlignment="0" applyProtection="0"/>
    <xf numFmtId="0" fontId="65" fillId="0" borderId="0"/>
    <xf numFmtId="0" fontId="65" fillId="0" borderId="0"/>
    <xf numFmtId="3" fontId="5" fillId="44" borderId="0" applyNumberFormat="0" applyFont="0" applyBorder="0" applyAlignment="0">
      <protection locked="0"/>
    </xf>
    <xf numFmtId="0" fontId="65" fillId="0" borderId="20"/>
    <xf numFmtId="0" fontId="65" fillId="0" borderId="0"/>
    <xf numFmtId="6" fontId="66" fillId="0" borderId="0"/>
    <xf numFmtId="0" fontId="67" fillId="45" borderId="21" applyNumberFormat="0" applyFont="0" applyBorder="0" applyAlignment="0">
      <protection locked="0"/>
    </xf>
    <xf numFmtId="0" fontId="68"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69" fillId="0" borderId="0" applyNumberFormat="0" applyBorder="0" applyAlignment="0" applyProtection="0"/>
    <xf numFmtId="0" fontId="70" fillId="0" borderId="0" applyNumberFormat="0" applyBorder="0" applyAlignment="0" applyProtection="0"/>
    <xf numFmtId="9" fontId="5" fillId="0" borderId="0" applyBorder="0"/>
    <xf numFmtId="2" fontId="62" fillId="0" borderId="0" applyFont="0" applyFill="0" applyBorder="0" applyAlignment="0" applyProtection="0"/>
    <xf numFmtId="174" fontId="63" fillId="0" borderId="0" applyFont="0" applyFill="0" applyBorder="0" applyAlignment="0" applyProtection="0"/>
    <xf numFmtId="0" fontId="63" fillId="0" borderId="0"/>
    <xf numFmtId="0" fontId="63" fillId="0" borderId="0"/>
    <xf numFmtId="0" fontId="23" fillId="10" borderId="0" applyNumberFormat="0" applyBorder="0" applyAlignment="0" applyProtection="0"/>
    <xf numFmtId="0" fontId="71" fillId="0" borderId="0" applyNumberFormat="0" applyFill="0" applyBorder="0"/>
    <xf numFmtId="0" fontId="72"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3" fillId="0" borderId="0" applyFill="0" applyBorder="0" applyAlignment="0" applyProtection="0"/>
    <xf numFmtId="175" fontId="74" fillId="0" borderId="0" applyFill="0" applyBorder="0" applyAlignment="0" applyProtection="0"/>
    <xf numFmtId="176" fontId="75" fillId="46" borderId="22"/>
    <xf numFmtId="0" fontId="15" fillId="0" borderId="23" applyNumberFormat="0" applyAlignment="0" applyProtection="0">
      <alignment horizontal="left" vertical="center"/>
    </xf>
    <xf numFmtId="0" fontId="15" fillId="0" borderId="24">
      <alignment horizontal="left" vertical="center"/>
    </xf>
    <xf numFmtId="0" fontId="76" fillId="47"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3" borderId="13" applyNumberFormat="0" applyAlignment="0" applyProtection="0"/>
    <xf numFmtId="0" fontId="26" fillId="13" borderId="13" applyNumberFormat="0" applyAlignment="0" applyProtection="0"/>
    <xf numFmtId="0" fontId="77" fillId="48" borderId="0" applyNumberFormat="0" applyBorder="0" applyAlignment="0" applyProtection="0"/>
    <xf numFmtId="177" fontId="78" fillId="0" borderId="25" applyNumberFormat="0" applyFont="0" applyBorder="0" applyAlignment="0">
      <alignment horizontal="left"/>
    </xf>
    <xf numFmtId="0" fontId="65" fillId="0" borderId="0"/>
    <xf numFmtId="0" fontId="79" fillId="49" borderId="20"/>
    <xf numFmtId="49" fontId="60" fillId="0" borderId="0" applyFill="0" applyBorder="0" applyProtection="0"/>
    <xf numFmtId="178" fontId="60" fillId="0" borderId="0" applyFill="0" applyBorder="0" applyProtection="0"/>
    <xf numFmtId="179" fontId="60" fillId="0" borderId="0" applyFill="0" applyBorder="0" applyProtection="0"/>
    <xf numFmtId="0" fontId="29" fillId="0" borderId="15" applyNumberFormat="0" applyFill="0" applyAlignment="0" applyProtection="0"/>
    <xf numFmtId="180" fontId="5" fillId="0" borderId="0"/>
    <xf numFmtId="180" fontId="5" fillId="0" borderId="0"/>
    <xf numFmtId="0" fontId="25" fillId="12" borderId="0" applyNumberFormat="0" applyBorder="0" applyAlignment="0" applyProtection="0"/>
    <xf numFmtId="37" fontId="80" fillId="0" borderId="0"/>
    <xf numFmtId="0" fontId="81" fillId="0" borderId="0"/>
    <xf numFmtId="0" fontId="5" fillId="0" borderId="0"/>
    <xf numFmtId="0" fontId="82" fillId="0" borderId="0"/>
    <xf numFmtId="0" fontId="5" fillId="0" borderId="0"/>
    <xf numFmtId="0" fontId="5" fillId="0" borderId="0"/>
    <xf numFmtId="0" fontId="4" fillId="0" borderId="0"/>
    <xf numFmtId="0" fontId="4" fillId="0" borderId="0"/>
    <xf numFmtId="0" fontId="4" fillId="0" borderId="0"/>
    <xf numFmtId="0" fontId="52" fillId="0" borderId="0"/>
    <xf numFmtId="0" fontId="5" fillId="0" borderId="0"/>
    <xf numFmtId="0" fontId="4" fillId="16" borderId="17" applyNumberFormat="0" applyFont="0" applyAlignment="0" applyProtection="0"/>
    <xf numFmtId="1" fontId="83" fillId="0" borderId="0" applyFill="0" applyBorder="0" applyProtection="0"/>
    <xf numFmtId="0" fontId="27" fillId="14" borderId="14" applyNumberFormat="0" applyAlignment="0" applyProtection="0"/>
    <xf numFmtId="0" fontId="63" fillId="0" borderId="0"/>
    <xf numFmtId="10" fontId="5" fillId="0" borderId="0" applyFont="0" applyFill="0" applyBorder="0" applyAlignment="0" applyProtection="0"/>
    <xf numFmtId="9" fontId="5" fillId="43" borderId="0" applyFont="0" applyFill="0" applyBorder="0" applyAlignment="0" applyProtection="0"/>
    <xf numFmtId="10" fontId="5" fillId="43"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4" fillId="0" borderId="0" applyNumberFormat="0" applyFill="0" applyBorder="0" applyProtection="0">
      <alignment horizontal="right"/>
    </xf>
    <xf numFmtId="0" fontId="85" fillId="0" borderId="0" applyNumberFormat="0" applyFill="0" applyBorder="0" applyProtection="0">
      <alignment horizontal="right"/>
    </xf>
    <xf numFmtId="0" fontId="85"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 fillId="0" borderId="0" applyBorder="0"/>
    <xf numFmtId="0" fontId="65" fillId="0" borderId="0"/>
    <xf numFmtId="0" fontId="65"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0" fillId="0" borderId="0" applyFont="0" applyAlignment="0">
      <alignment horizontal="centerContinuous"/>
    </xf>
    <xf numFmtId="0" fontId="91" fillId="0" borderId="0">
      <alignment horizontal="center"/>
    </xf>
    <xf numFmtId="40" fontId="92" fillId="0" borderId="0" applyBorder="0">
      <alignment horizontal="right"/>
    </xf>
    <xf numFmtId="0" fontId="65" fillId="0" borderId="20"/>
    <xf numFmtId="0" fontId="65" fillId="0" borderId="0"/>
    <xf numFmtId="49" fontId="5" fillId="0" borderId="0"/>
    <xf numFmtId="49" fontId="5" fillId="0" borderId="0"/>
    <xf numFmtId="182" fontId="5" fillId="0" borderId="0"/>
    <xf numFmtId="0" fontId="93" fillId="50" borderId="0"/>
    <xf numFmtId="0" fontId="65" fillId="0" borderId="0"/>
    <xf numFmtId="0" fontId="19" fillId="0" borderId="0" applyNumberFormat="0" applyFill="0" applyBorder="0" applyAlignment="0" applyProtection="0"/>
    <xf numFmtId="0" fontId="19"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33" fillId="0" borderId="18" applyNumberFormat="0" applyFill="0" applyAlignment="0" applyProtection="0"/>
    <xf numFmtId="0" fontId="65" fillId="0" borderId="0"/>
    <xf numFmtId="0" fontId="79" fillId="0" borderId="26"/>
    <xf numFmtId="0" fontId="65" fillId="0" borderId="0"/>
    <xf numFmtId="0" fontId="79" fillId="0" borderId="20"/>
    <xf numFmtId="0" fontId="31" fillId="0" borderId="0" applyNumberFormat="0" applyFill="0" applyBorder="0" applyAlignment="0" applyProtection="0"/>
    <xf numFmtId="9" fontId="96"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3" fillId="41" borderId="38" applyNumberFormat="0" applyAlignment="0" applyProtection="0">
      <alignment horizontal="left"/>
    </xf>
    <xf numFmtId="0" fontId="54" fillId="0" borderId="0" applyNumberFormat="0" applyProtection="0"/>
    <xf numFmtId="0" fontId="2" fillId="0" borderId="0"/>
  </cellStyleXfs>
  <cellXfs count="270">
    <xf numFmtId="0" fontId="0" fillId="0" borderId="0" xfId="0"/>
    <xf numFmtId="0" fontId="35" fillId="6" borderId="0" xfId="0" applyFont="1" applyFill="1" applyAlignment="1" applyProtection="1">
      <alignment vertical="center"/>
    </xf>
    <xf numFmtId="0" fontId="35" fillId="6" borderId="0" xfId="0" applyFont="1" applyFill="1" applyAlignment="1" applyProtection="1">
      <alignment vertical="center" wrapText="1"/>
    </xf>
    <xf numFmtId="0" fontId="35" fillId="6" borderId="0" xfId="0" applyFont="1" applyFill="1" applyAlignment="1" applyProtection="1">
      <alignment horizontal="center" vertical="center"/>
    </xf>
    <xf numFmtId="0" fontId="35" fillId="7"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quotePrefix="1" applyFont="1" applyFill="1" applyBorder="1" applyAlignment="1" applyProtection="1">
      <alignment horizontal="center" vertical="top"/>
    </xf>
    <xf numFmtId="0" fontId="36" fillId="3" borderId="0" xfId="0" applyFont="1" applyFill="1" applyBorder="1" applyAlignment="1" applyProtection="1">
      <alignment vertical="top" wrapText="1"/>
    </xf>
    <xf numFmtId="0" fontId="35" fillId="3" borderId="0" xfId="0" applyFont="1" applyFill="1" applyBorder="1" applyAlignment="1" applyProtection="1">
      <alignment vertical="center" wrapText="1"/>
    </xf>
    <xf numFmtId="0" fontId="35" fillId="6" borderId="0" xfId="0" applyFont="1" applyFill="1" applyAlignment="1" applyProtection="1">
      <alignment horizontal="center" vertical="center"/>
      <protection hidden="1"/>
    </xf>
    <xf numFmtId="0" fontId="35" fillId="7" borderId="0" xfId="0" applyFont="1" applyFill="1" applyBorder="1" applyAlignment="1" applyProtection="1">
      <alignment horizontal="center" vertical="center"/>
    </xf>
    <xf numFmtId="0" fontId="39" fillId="7" borderId="0" xfId="0" applyFont="1" applyFill="1" applyBorder="1" applyAlignment="1" applyProtection="1">
      <alignment vertical="center"/>
      <protection hidden="1"/>
    </xf>
    <xf numFmtId="0" fontId="35" fillId="3" borderId="0" xfId="0" applyFont="1" applyFill="1" applyBorder="1" applyAlignment="1" applyProtection="1">
      <alignment horizontal="center" vertical="center" wrapText="1"/>
    </xf>
    <xf numFmtId="0" fontId="46" fillId="3" borderId="0" xfId="0" applyFont="1" applyFill="1" applyBorder="1" applyAlignment="1" applyProtection="1">
      <alignment horizontal="centerContinuous" vertical="center" wrapText="1"/>
    </xf>
    <xf numFmtId="0" fontId="37" fillId="3" borderId="0" xfId="0" applyFont="1" applyFill="1" applyBorder="1" applyAlignment="1" applyProtection="1">
      <alignment horizontal="centerContinuous" vertical="center" wrapText="1"/>
    </xf>
    <xf numFmtId="0" fontId="39"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right" vertical="center" indent="1"/>
    </xf>
    <xf numFmtId="0" fontId="47" fillId="7" borderId="0" xfId="4" applyFont="1" applyFill="1" applyBorder="1" applyAlignment="1" applyProtection="1">
      <alignment vertical="center"/>
    </xf>
    <xf numFmtId="0" fontId="39" fillId="3" borderId="0" xfId="0" applyFont="1" applyFill="1" applyBorder="1" applyAlignment="1" applyProtection="1">
      <alignment vertical="center" wrapText="1"/>
    </xf>
    <xf numFmtId="0" fontId="48" fillId="3" borderId="0" xfId="4" applyFont="1" applyFill="1" applyBorder="1" applyAlignment="1" applyProtection="1">
      <alignment horizontal="centerContinuous" vertical="center" wrapText="1"/>
    </xf>
    <xf numFmtId="0" fontId="35" fillId="7" borderId="0" xfId="0" applyFont="1" applyFill="1" applyBorder="1" applyAlignment="1" applyProtection="1">
      <alignment horizontal="right" vertical="center" wrapText="1" indent="1"/>
    </xf>
    <xf numFmtId="164" fontId="35" fillId="7" borderId="0" xfId="0" applyNumberFormat="1" applyFont="1" applyFill="1" applyBorder="1" applyAlignment="1" applyProtection="1">
      <alignment horizontal="center" vertical="center"/>
    </xf>
    <xf numFmtId="0" fontId="35" fillId="7" borderId="0" xfId="0" applyFont="1" applyFill="1" applyBorder="1" applyAlignment="1" applyProtection="1">
      <alignment horizontal="left" vertical="center" wrapText="1" indent="2"/>
    </xf>
    <xf numFmtId="0" fontId="35" fillId="6" borderId="0" xfId="0" applyFont="1" applyFill="1" applyAlignment="1" applyProtection="1">
      <alignment horizontal="centerContinuous" vertical="center"/>
    </xf>
    <xf numFmtId="0" fontId="50" fillId="6" borderId="0" xfId="0" applyFont="1" applyFill="1" applyAlignment="1" applyProtection="1">
      <alignment vertical="center" wrapText="1"/>
    </xf>
    <xf numFmtId="5" fontId="35" fillId="6" borderId="0" xfId="0" applyNumberFormat="1" applyFont="1" applyFill="1" applyAlignment="1" applyProtection="1">
      <alignment horizontal="center" vertical="center"/>
    </xf>
    <xf numFmtId="164" fontId="35" fillId="6" borderId="0" xfId="0" applyNumberFormat="1" applyFont="1" applyFill="1" applyAlignment="1" applyProtection="1">
      <alignment horizontal="center" vertical="center"/>
    </xf>
    <xf numFmtId="0" fontId="35" fillId="0" borderId="0" xfId="0" applyFont="1"/>
    <xf numFmtId="0" fontId="35" fillId="0" borderId="0" xfId="0" applyFont="1" applyFill="1" applyAlignment="1" applyProtection="1">
      <alignment vertical="center" wrapText="1"/>
    </xf>
    <xf numFmtId="0" fontId="35" fillId="0" borderId="0" xfId="0" applyFont="1" applyFill="1" applyAlignment="1" applyProtection="1">
      <alignment vertical="center"/>
      <protection hidden="1"/>
    </xf>
    <xf numFmtId="0" fontId="35" fillId="0" borderId="0" xfId="0" applyFont="1" applyFill="1" applyAlignment="1" applyProtection="1">
      <alignment vertical="center"/>
    </xf>
    <xf numFmtId="0" fontId="35" fillId="0" borderId="0" xfId="0" applyFont="1" applyFill="1" applyAlignment="1" applyProtection="1">
      <alignment horizontal="center" vertical="center"/>
      <protection hidden="1"/>
    </xf>
    <xf numFmtId="0" fontId="49" fillId="53" borderId="0" xfId="0" applyFont="1" applyFill="1" applyBorder="1" applyAlignment="1" applyProtection="1">
      <alignment vertical="center"/>
      <protection hidden="1"/>
    </xf>
    <xf numFmtId="0" fontId="35" fillId="0" borderId="0" xfId="0" applyFont="1" applyFill="1"/>
    <xf numFmtId="0" fontId="36"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97" fillId="0" borderId="0" xfId="0" applyFont="1" applyBorder="1" applyAlignment="1">
      <alignment vertical="center"/>
    </xf>
    <xf numFmtId="0" fontId="35" fillId="0" borderId="0" xfId="0" applyFont="1" applyBorder="1" applyAlignment="1">
      <alignment horizontal="left" vertical="center" indent="1"/>
    </xf>
    <xf numFmtId="164" fontId="35" fillId="0" borderId="0" xfId="0" applyNumberFormat="1" applyFont="1" applyBorder="1" applyAlignment="1">
      <alignment horizontal="left" vertical="center"/>
    </xf>
    <xf numFmtId="0" fontId="37" fillId="0" borderId="0" xfId="0" applyFont="1" applyBorder="1" applyAlignment="1">
      <alignment horizontal="left" vertical="center"/>
    </xf>
    <xf numFmtId="0" fontId="97" fillId="0" borderId="0" xfId="0" applyFont="1" applyFill="1" applyBorder="1" applyAlignment="1">
      <alignment vertical="center"/>
    </xf>
    <xf numFmtId="0" fontId="35" fillId="0" borderId="0" xfId="0" applyFont="1" applyFill="1" applyBorder="1" applyAlignment="1">
      <alignment vertical="center"/>
    </xf>
    <xf numFmtId="164" fontId="97" fillId="0" borderId="0" xfId="0" applyNumberFormat="1" applyFont="1" applyFill="1" applyBorder="1" applyAlignment="1">
      <alignment horizontal="left" vertical="center"/>
    </xf>
    <xf numFmtId="9" fontId="97" fillId="0" borderId="0" xfId="0" applyNumberFormat="1" applyFont="1" applyFill="1" applyBorder="1" applyAlignment="1">
      <alignment horizontal="left" vertical="center"/>
    </xf>
    <xf numFmtId="0" fontId="35" fillId="0" borderId="0" xfId="0" applyFont="1" applyFill="1" applyBorder="1" applyAlignment="1">
      <alignment horizontal="left" vertical="center" indent="1"/>
    </xf>
    <xf numFmtId="0" fontId="97" fillId="0"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5" fillId="0" borderId="0" xfId="0" applyFont="1" applyBorder="1" applyAlignment="1">
      <alignment horizontal="left" vertical="center" indent="2"/>
    </xf>
    <xf numFmtId="1" fontId="97" fillId="0" borderId="0" xfId="0" applyNumberFormat="1" applyFont="1" applyFill="1" applyBorder="1" applyAlignment="1">
      <alignment horizontal="left" vertical="center"/>
    </xf>
    <xf numFmtId="0" fontId="98" fillId="0" borderId="0" xfId="0" applyFont="1" applyBorder="1" applyAlignment="1">
      <alignment horizontal="left" vertical="center" indent="2"/>
    </xf>
    <xf numFmtId="0" fontId="97" fillId="0" borderId="0" xfId="0" applyNumberFormat="1" applyFont="1" applyFill="1" applyBorder="1" applyAlignment="1">
      <alignment horizontal="left" vertical="center" indent="1"/>
    </xf>
    <xf numFmtId="0" fontId="97" fillId="0" borderId="0" xfId="0" applyFont="1" applyBorder="1" applyAlignment="1">
      <alignment horizontal="left" vertical="center"/>
    </xf>
    <xf numFmtId="167" fontId="97" fillId="0" borderId="0" xfId="0" applyNumberFormat="1" applyFont="1" applyFill="1" applyBorder="1" applyAlignment="1">
      <alignment horizontal="left" vertical="center"/>
    </xf>
    <xf numFmtId="0" fontId="99" fillId="0" borderId="19" xfId="0" applyFont="1" applyFill="1" applyBorder="1" applyAlignment="1">
      <alignment vertical="center"/>
    </xf>
    <xf numFmtId="0" fontId="35" fillId="0" borderId="19" xfId="0" applyFont="1" applyFill="1" applyBorder="1" applyAlignment="1">
      <alignment vertical="center"/>
    </xf>
    <xf numFmtId="0" fontId="35" fillId="0" borderId="19" xfId="0" applyFont="1" applyFill="1" applyBorder="1" applyAlignment="1">
      <alignment horizontal="center" vertical="center"/>
    </xf>
    <xf numFmtId="0" fontId="99" fillId="0" borderId="0" xfId="0" applyFont="1" applyFill="1" applyBorder="1" applyAlignment="1">
      <alignment vertical="center"/>
    </xf>
    <xf numFmtId="0" fontId="100" fillId="0" borderId="0" xfId="0" applyFont="1" applyFill="1" applyBorder="1" applyAlignment="1">
      <alignment vertical="center"/>
    </xf>
    <xf numFmtId="0" fontId="101" fillId="0" borderId="0" xfId="0" applyFont="1" applyFill="1" applyBorder="1" applyAlignment="1">
      <alignment horizontal="centerContinuous" vertical="center"/>
    </xf>
    <xf numFmtId="0" fontId="102" fillId="0" borderId="0" xfId="0" applyFont="1" applyFill="1" applyBorder="1" applyAlignment="1">
      <alignment horizontal="centerContinuous" vertical="center"/>
    </xf>
    <xf numFmtId="164" fontId="102" fillId="0" borderId="0" xfId="0" applyNumberFormat="1" applyFont="1" applyFill="1" applyBorder="1" applyAlignment="1">
      <alignment horizontal="centerContinuous" vertical="center"/>
    </xf>
    <xf numFmtId="0" fontId="102" fillId="0" borderId="0" xfId="0" applyFont="1" applyFill="1" applyBorder="1" applyAlignment="1">
      <alignment vertical="center"/>
    </xf>
    <xf numFmtId="0" fontId="103" fillId="0" borderId="0" xfId="0" applyFont="1"/>
    <xf numFmtId="0" fontId="18" fillId="0" borderId="0" xfId="0" applyFont="1" applyFill="1" applyBorder="1" applyAlignment="1">
      <alignment vertical="center"/>
    </xf>
    <xf numFmtId="0" fontId="104" fillId="0" borderId="0" xfId="0" applyFont="1" applyFill="1" applyBorder="1" applyAlignment="1">
      <alignment horizontal="centerContinuous" vertical="center"/>
    </xf>
    <xf numFmtId="0" fontId="104" fillId="54" borderId="0" xfId="0" applyFont="1" applyFill="1" applyBorder="1" applyAlignment="1">
      <alignment horizontal="centerContinuous" vertical="center"/>
    </xf>
    <xf numFmtId="0" fontId="105" fillId="0" borderId="0" xfId="0" applyFont="1" applyFill="1" applyBorder="1" applyAlignment="1">
      <alignment vertical="center"/>
    </xf>
    <xf numFmtId="0" fontId="104" fillId="55" borderId="0" xfId="0" applyFont="1" applyFill="1" applyBorder="1" applyAlignment="1">
      <alignment horizontal="centerContinuous" vertical="center"/>
    </xf>
    <xf numFmtId="0" fontId="105"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6" fillId="0" borderId="0" xfId="0" applyFont="1" applyAlignment="1">
      <alignment horizontal="center"/>
    </xf>
    <xf numFmtId="0" fontId="107" fillId="52" borderId="0" xfId="0" applyFont="1" applyFill="1" applyBorder="1" applyAlignment="1">
      <alignment horizontal="center" vertical="center"/>
    </xf>
    <xf numFmtId="0" fontId="107"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2" borderId="0" xfId="0" applyFont="1" applyFill="1" applyBorder="1" applyAlignment="1">
      <alignment horizontal="right" vertical="center"/>
    </xf>
    <xf numFmtId="0" fontId="106" fillId="0" borderId="0" xfId="0" applyFont="1"/>
    <xf numFmtId="0" fontId="108" fillId="0" borderId="0" xfId="0" applyFont="1" applyFill="1" applyBorder="1" applyAlignment="1">
      <alignment horizontal="center" vertical="center"/>
    </xf>
    <xf numFmtId="0" fontId="109" fillId="0" borderId="0" xfId="0" applyFont="1"/>
    <xf numFmtId="164" fontId="108" fillId="0" borderId="0" xfId="0" applyNumberFormat="1" applyFont="1" applyFill="1" applyBorder="1" applyAlignment="1">
      <alignment vertical="center"/>
    </xf>
    <xf numFmtId="0" fontId="110" fillId="0" borderId="0" xfId="0" applyFont="1" applyFill="1" applyBorder="1" applyAlignment="1">
      <alignment horizontal="center" vertical="center"/>
    </xf>
    <xf numFmtId="0" fontId="111"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1"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0" fillId="0" borderId="0" xfId="0" applyNumberFormat="1" applyFont="1" applyFill="1" applyBorder="1" applyAlignment="1">
      <alignment horizontal="center" vertical="center"/>
    </xf>
    <xf numFmtId="9" fontId="110"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7" fillId="0" borderId="0" xfId="0" applyFont="1" applyFill="1" applyBorder="1" applyAlignment="1">
      <alignment horizontal="right" vertical="center"/>
    </xf>
    <xf numFmtId="0" fontId="107" fillId="0" borderId="0" xfId="0" applyFont="1" applyFill="1" applyBorder="1" applyAlignment="1">
      <alignment horizontal="center" vertical="center"/>
    </xf>
    <xf numFmtId="164" fontId="18" fillId="0" borderId="0" xfId="0" applyNumberFormat="1" applyFont="1" applyBorder="1" applyAlignment="1">
      <alignment vertical="center"/>
    </xf>
    <xf numFmtId="0" fontId="112" fillId="0" borderId="0" xfId="0" applyFont="1" applyFill="1" applyBorder="1" applyAlignment="1">
      <alignment vertical="center"/>
    </xf>
    <xf numFmtId="0" fontId="18" fillId="0" borderId="0" xfId="0" applyFont="1" applyBorder="1" applyAlignment="1">
      <alignment horizontal="right" vertical="center"/>
    </xf>
    <xf numFmtId="0" fontId="38" fillId="0" borderId="0" xfId="0" applyFont="1" applyFill="1" applyBorder="1" applyAlignment="1">
      <alignment vertical="center"/>
    </xf>
    <xf numFmtId="0" fontId="38" fillId="56" borderId="0" xfId="0" applyFont="1" applyFill="1" applyBorder="1" applyAlignment="1">
      <alignment vertical="center"/>
    </xf>
    <xf numFmtId="164" fontId="38" fillId="56" borderId="0" xfId="0" applyNumberFormat="1" applyFont="1" applyFill="1" applyBorder="1" applyAlignment="1">
      <alignment horizontal="center" vertical="center"/>
    </xf>
    <xf numFmtId="0" fontId="18" fillId="0" borderId="0" xfId="0" applyFont="1"/>
    <xf numFmtId="0" fontId="104" fillId="55" borderId="27" xfId="0" applyFont="1" applyFill="1" applyBorder="1" applyAlignment="1">
      <alignment horizontal="centerContinuous" vertical="center"/>
    </xf>
    <xf numFmtId="0" fontId="104" fillId="55" borderId="28" xfId="0" applyFont="1" applyFill="1" applyBorder="1" applyAlignment="1">
      <alignment horizontal="centerContinuous" vertical="center"/>
    </xf>
    <xf numFmtId="0" fontId="104" fillId="55"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5"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5" fillId="0" borderId="33" xfId="182" applyNumberFormat="1" applyFont="1" applyBorder="1"/>
    <xf numFmtId="0" fontId="0" fillId="0" borderId="34" xfId="0" applyBorder="1"/>
    <xf numFmtId="0" fontId="104" fillId="55" borderId="35" xfId="0" applyFont="1" applyFill="1" applyBorder="1" applyAlignment="1">
      <alignment horizontal="centerContinuous" vertical="center"/>
    </xf>
    <xf numFmtId="0" fontId="104" fillId="55" borderId="24" xfId="0" applyFont="1" applyFill="1" applyBorder="1" applyAlignment="1">
      <alignment horizontal="centerContinuous" vertical="center"/>
    </xf>
    <xf numFmtId="0" fontId="104" fillId="55" borderId="36" xfId="0" applyFont="1" applyFill="1" applyBorder="1" applyAlignment="1">
      <alignment horizontal="centerContinuous" vertical="center"/>
    </xf>
    <xf numFmtId="0" fontId="111" fillId="51" borderId="0" xfId="0" applyFont="1" applyFill="1" applyBorder="1" applyAlignment="1">
      <alignment horizontal="center" vertical="center"/>
    </xf>
    <xf numFmtId="0" fontId="35" fillId="0" borderId="0" xfId="0" applyFont="1" applyFill="1" applyProtection="1">
      <protection hidden="1"/>
    </xf>
    <xf numFmtId="0" fontId="51" fillId="0" borderId="0" xfId="0" applyFont="1" applyFill="1" applyAlignment="1" applyProtection="1">
      <alignment horizontal="left" vertical="center" indent="1"/>
      <protection hidden="1"/>
    </xf>
    <xf numFmtId="0" fontId="40" fillId="0" borderId="0" xfId="0" applyFont="1" applyFill="1" applyAlignment="1" applyProtection="1">
      <alignment vertical="center"/>
      <protection hidden="1"/>
    </xf>
    <xf numFmtId="0" fontId="40" fillId="0" borderId="0" xfId="0" applyFont="1" applyFill="1" applyAlignment="1" applyProtection="1">
      <alignment horizontal="left" vertical="center" indent="1"/>
      <protection hidden="1"/>
    </xf>
    <xf numFmtId="0" fontId="40" fillId="0" borderId="0" xfId="0" applyFont="1" applyFill="1" applyProtection="1">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wrapText="1"/>
      <protection hidden="1"/>
    </xf>
    <xf numFmtId="0" fontId="35" fillId="6" borderId="0" xfId="16" applyFont="1" applyFill="1" applyBorder="1" applyAlignment="1" applyProtection="1">
      <alignment horizontal="left" vertical="top" wrapText="1" indent="2"/>
      <protection hidden="1"/>
    </xf>
    <xf numFmtId="0" fontId="35" fillId="6" borderId="3" xfId="16" applyFont="1" applyFill="1" applyBorder="1" applyAlignment="1" applyProtection="1">
      <alignment vertical="top"/>
      <protection hidden="1"/>
    </xf>
    <xf numFmtId="49" fontId="35"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protection hidden="1"/>
    </xf>
    <xf numFmtId="0" fontId="35"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5"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7" fillId="0" borderId="0" xfId="0" applyFont="1" applyFill="1" applyAlignment="1" applyProtection="1">
      <alignment horizontal="right"/>
      <protection hidden="1"/>
    </xf>
    <xf numFmtId="0" fontId="35" fillId="0" borderId="0" xfId="0" applyFont="1" applyFill="1" applyAlignment="1" applyProtection="1">
      <alignment horizontal="right"/>
      <protection hidden="1"/>
    </xf>
    <xf numFmtId="164" fontId="35" fillId="0" borderId="0" xfId="0" applyNumberFormat="1" applyFont="1" applyFill="1" applyAlignment="1" applyProtection="1">
      <alignment horizontal="right"/>
      <protection hidden="1"/>
    </xf>
    <xf numFmtId="5" fontId="35" fillId="0" borderId="0" xfId="0" applyNumberFormat="1" applyFont="1" applyFill="1" applyAlignment="1" applyProtection="1">
      <protection hidden="1"/>
    </xf>
    <xf numFmtId="0" fontId="35" fillId="0" borderId="0" xfId="0" applyFont="1" applyFill="1" applyAlignment="1" applyProtection="1">
      <protection hidden="1"/>
    </xf>
    <xf numFmtId="164" fontId="35" fillId="0" borderId="0" xfId="0" applyNumberFormat="1" applyFont="1" applyFill="1" applyAlignment="1" applyProtection="1">
      <alignment horizontal="center"/>
      <protection hidden="1"/>
    </xf>
    <xf numFmtId="14" fontId="97" fillId="0" borderId="0" xfId="0" applyNumberFormat="1" applyFont="1" applyBorder="1" applyAlignment="1">
      <alignment horizontal="left" vertical="center"/>
    </xf>
    <xf numFmtId="0" fontId="35" fillId="52" borderId="1" xfId="0" applyFont="1" applyFill="1" applyBorder="1" applyAlignment="1" applyProtection="1">
      <alignment horizontal="center" vertical="center"/>
    </xf>
    <xf numFmtId="0" fontId="35" fillId="9" borderId="0" xfId="0" applyFont="1" applyFill="1" applyBorder="1" applyAlignment="1" applyProtection="1">
      <alignment horizontal="center" vertical="center"/>
    </xf>
    <xf numFmtId="0" fontId="39" fillId="9" borderId="0" xfId="0" applyFont="1" applyFill="1" applyBorder="1" applyAlignment="1" applyProtection="1">
      <alignment vertical="center"/>
    </xf>
    <xf numFmtId="0" fontId="35" fillId="9" borderId="0" xfId="0" applyFont="1" applyFill="1" applyBorder="1" applyAlignment="1" applyProtection="1">
      <alignment vertical="center"/>
    </xf>
    <xf numFmtId="0" fontId="36" fillId="9" borderId="0" xfId="0" quotePrefix="1" applyFont="1" applyFill="1" applyBorder="1" applyAlignment="1" applyProtection="1">
      <alignment horizontal="center" vertical="top"/>
    </xf>
    <xf numFmtId="0" fontId="36" fillId="9" borderId="0" xfId="0" applyFont="1" applyFill="1" applyBorder="1" applyAlignment="1" applyProtection="1">
      <alignment vertical="top" wrapText="1"/>
    </xf>
    <xf numFmtId="0" fontId="40" fillId="9" borderId="0" xfId="0" applyFont="1" applyFill="1" applyBorder="1" applyAlignment="1" applyProtection="1">
      <alignment horizontal="center" vertical="center" wrapText="1"/>
    </xf>
    <xf numFmtId="0" fontId="35" fillId="9" borderId="0" xfId="0" applyFont="1" applyFill="1" applyBorder="1" applyAlignment="1" applyProtection="1">
      <alignment vertical="center" wrapText="1"/>
    </xf>
    <xf numFmtId="0" fontId="35" fillId="9" borderId="0" xfId="0" applyFont="1" applyFill="1" applyBorder="1" applyAlignment="1" applyProtection="1">
      <alignment horizontal="right" vertical="top" indent="1"/>
    </xf>
    <xf numFmtId="0" fontId="42" fillId="9" borderId="0" xfId="0" applyFont="1" applyFill="1" applyBorder="1" applyAlignment="1" applyProtection="1">
      <alignment vertical="center" wrapText="1"/>
    </xf>
    <xf numFmtId="0" fontId="37" fillId="9" borderId="0" xfId="0" applyFont="1" applyFill="1" applyBorder="1" applyAlignment="1" applyProtection="1">
      <alignment horizontal="center" wrapText="1"/>
    </xf>
    <xf numFmtId="0" fontId="35" fillId="9" borderId="0" xfId="0" applyFont="1" applyFill="1" applyBorder="1" applyAlignment="1" applyProtection="1">
      <alignment horizontal="center" vertical="center" wrapText="1"/>
    </xf>
    <xf numFmtId="0" fontId="43" fillId="9" borderId="0" xfId="0" applyFont="1" applyFill="1" applyBorder="1" applyAlignment="1" applyProtection="1">
      <alignment horizontal="center" wrapText="1"/>
    </xf>
    <xf numFmtId="0" fontId="44" fillId="9" borderId="0" xfId="0" applyFont="1" applyFill="1" applyBorder="1" applyAlignment="1" applyProtection="1">
      <alignment horizontal="left" vertical="center" wrapText="1"/>
    </xf>
    <xf numFmtId="0" fontId="40" fillId="9" borderId="0" xfId="0" applyFont="1" applyFill="1" applyBorder="1" applyAlignment="1" applyProtection="1">
      <alignment vertical="center" wrapText="1"/>
    </xf>
    <xf numFmtId="0" fontId="45" fillId="9" borderId="0" xfId="0" applyFont="1" applyFill="1" applyBorder="1" applyAlignment="1" applyProtection="1">
      <alignment horizontal="center" vertical="center" wrapText="1"/>
    </xf>
    <xf numFmtId="0" fontId="97" fillId="52" borderId="1" xfId="0" applyFont="1" applyFill="1" applyBorder="1" applyAlignment="1" applyProtection="1">
      <alignment horizontal="center" vertical="center"/>
      <protection locked="0"/>
    </xf>
    <xf numFmtId="0" fontId="35" fillId="0" borderId="0" xfId="16" quotePrefix="1" applyNumberFormat="1" applyFont="1" applyFill="1" applyBorder="1" applyAlignment="1" applyProtection="1">
      <alignment horizontal="left" vertical="top" wrapText="1" indent="2"/>
      <protection hidden="1"/>
    </xf>
    <xf numFmtId="0" fontId="35" fillId="0" borderId="0" xfId="16" applyNumberFormat="1" applyFont="1" applyFill="1" applyBorder="1" applyAlignment="1" applyProtection="1">
      <alignment horizontal="left" vertical="top" wrapText="1" indent="2"/>
      <protection hidden="1"/>
    </xf>
    <xf numFmtId="164" fontId="97" fillId="52" borderId="1" xfId="0" applyNumberFormat="1" applyFont="1" applyFill="1" applyBorder="1" applyAlignment="1" applyProtection="1">
      <alignment horizontal="center" vertical="center"/>
      <protection locked="0"/>
    </xf>
    <xf numFmtId="0" fontId="38" fillId="57" borderId="0" xfId="0" applyFont="1" applyFill="1" applyBorder="1" applyAlignment="1">
      <alignment vertical="center"/>
    </xf>
    <xf numFmtId="164" fontId="38" fillId="57"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5" fillId="0" borderId="0" xfId="0" applyFont="1" applyAlignment="1">
      <alignment horizontal="left" indent="1"/>
    </xf>
    <xf numFmtId="0" fontId="113" fillId="0" borderId="0" xfId="0" applyFont="1" applyBorder="1" applyAlignment="1">
      <alignment vertical="center"/>
    </xf>
    <xf numFmtId="0" fontId="114" fillId="0" borderId="0" xfId="0" applyFont="1" applyBorder="1" applyAlignment="1">
      <alignment horizontal="left" vertical="center"/>
    </xf>
    <xf numFmtId="167" fontId="35" fillId="0" borderId="0" xfId="0" applyNumberFormat="1" applyFont="1"/>
    <xf numFmtId="0" fontId="35"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5" fillId="52" borderId="1" xfId="0" applyNumberFormat="1" applyFont="1" applyFill="1" applyBorder="1" applyAlignment="1" applyProtection="1">
      <alignment horizontal="right" vertical="center" indent="1"/>
      <protection locked="0"/>
    </xf>
    <xf numFmtId="0" fontId="40" fillId="0" borderId="0" xfId="0" applyFont="1" applyProtection="1">
      <protection hidden="1"/>
    </xf>
    <xf numFmtId="0" fontId="18" fillId="0" borderId="0" xfId="0" applyFont="1" applyProtection="1">
      <protection hidden="1"/>
    </xf>
    <xf numFmtId="0" fontId="35" fillId="0" borderId="0" xfId="0" applyFont="1" applyProtection="1">
      <protection hidden="1"/>
    </xf>
    <xf numFmtId="0" fontId="35" fillId="6" borderId="0" xfId="0" applyFont="1" applyFill="1" applyAlignment="1" applyProtection="1">
      <alignment vertical="center"/>
      <protection hidden="1"/>
    </xf>
    <xf numFmtId="0" fontId="110" fillId="0" borderId="0" xfId="184" applyFont="1" applyAlignment="1" applyProtection="1">
      <alignment horizontal="centerContinuous"/>
      <protection hidden="1"/>
    </xf>
    <xf numFmtId="0" fontId="115" fillId="0" borderId="0" xfId="184" applyFont="1" applyProtection="1">
      <protection hidden="1"/>
    </xf>
    <xf numFmtId="0" fontId="116" fillId="0" borderId="0" xfId="184" applyFont="1" applyProtection="1">
      <protection hidden="1"/>
    </xf>
    <xf numFmtId="0" fontId="116" fillId="0" borderId="0" xfId="184" applyFont="1" applyBorder="1" applyProtection="1">
      <protection hidden="1"/>
    </xf>
    <xf numFmtId="164" fontId="113" fillId="0" borderId="0" xfId="0" applyNumberFormat="1" applyFont="1" applyFill="1" applyBorder="1" applyAlignment="1">
      <alignment horizontal="left" vertical="center"/>
    </xf>
    <xf numFmtId="0" fontId="117" fillId="0" borderId="0" xfId="0" applyFont="1"/>
    <xf numFmtId="0" fontId="35" fillId="0" borderId="0" xfId="0" applyFont="1" applyFill="1" applyBorder="1" applyAlignment="1">
      <alignment horizontal="left" vertical="center" indent="2"/>
    </xf>
    <xf numFmtId="0" fontId="35" fillId="53" borderId="0" xfId="0" applyFont="1" applyFill="1" applyBorder="1" applyAlignment="1" applyProtection="1">
      <alignment horizontal="right" vertical="center" indent="1"/>
    </xf>
    <xf numFmtId="0" fontId="35" fillId="53" borderId="0" xfId="0" applyFont="1" applyFill="1" applyAlignment="1" applyProtection="1">
      <alignment horizontal="center" vertical="center"/>
    </xf>
    <xf numFmtId="0" fontId="97" fillId="53" borderId="0" xfId="0" applyFont="1" applyFill="1" applyBorder="1" applyAlignment="1" applyProtection="1">
      <alignment horizontal="center" vertical="center"/>
      <protection locked="0"/>
    </xf>
    <xf numFmtId="0" fontId="35" fillId="53" borderId="0" xfId="0" applyFont="1" applyFill="1" applyAlignment="1" applyProtection="1">
      <alignment vertical="center" wrapText="1"/>
    </xf>
    <xf numFmtId="164" fontId="114" fillId="0" borderId="0" xfId="0" applyNumberFormat="1" applyFont="1" applyFill="1" applyBorder="1" applyAlignment="1">
      <alignment horizontal="left" vertical="center"/>
    </xf>
    <xf numFmtId="0" fontId="118" fillId="0" borderId="0" xfId="188" applyFont="1" applyFill="1"/>
    <xf numFmtId="0" fontId="53" fillId="0" borderId="0" xfId="0" applyFont="1" applyFill="1" applyAlignment="1" applyProtection="1">
      <alignment horizontal="right" vertical="center"/>
      <protection hidden="1"/>
    </xf>
    <xf numFmtId="0" fontId="53" fillId="0" borderId="0" xfId="0" applyFont="1" applyFill="1" applyAlignment="1" applyProtection="1">
      <alignment horizontal="right"/>
      <protection hidden="1"/>
    </xf>
    <xf numFmtId="164" fontId="53" fillId="0" borderId="0" xfId="0" applyNumberFormat="1" applyFont="1" applyFill="1" applyAlignment="1" applyProtection="1">
      <alignment horizontal="right"/>
      <protection hidden="1"/>
    </xf>
    <xf numFmtId="9" fontId="53" fillId="0" borderId="0" xfId="0" applyNumberFormat="1" applyFont="1" applyFill="1" applyAlignment="1" applyProtection="1">
      <alignment horizontal="right"/>
      <protection hidden="1"/>
    </xf>
    <xf numFmtId="5" fontId="53" fillId="0" borderId="0" xfId="0" applyNumberFormat="1" applyFont="1" applyFill="1" applyAlignment="1" applyProtection="1">
      <protection hidden="1"/>
    </xf>
    <xf numFmtId="0" fontId="119" fillId="0" borderId="0" xfId="0" applyFont="1" applyFill="1" applyAlignment="1" applyProtection="1">
      <alignment horizontal="right"/>
      <protection hidden="1"/>
    </xf>
    <xf numFmtId="0" fontId="35" fillId="0" borderId="0" xfId="0" applyFont="1" applyFill="1" applyAlignment="1" applyProtection="1">
      <alignment horizontal="right" vertical="center"/>
      <protection hidden="1"/>
    </xf>
    <xf numFmtId="0" fontId="35" fillId="0" borderId="0" xfId="0" applyFont="1" applyFill="1" applyAlignment="1" applyProtection="1">
      <alignment horizontal="right" vertical="center"/>
    </xf>
    <xf numFmtId="0" fontId="35" fillId="0" borderId="0" xfId="0" applyFont="1" applyFill="1" applyAlignment="1" applyProtection="1">
      <alignment horizontal="right" vertical="center"/>
      <protection locked="0" hidden="1"/>
    </xf>
    <xf numFmtId="0" fontId="0" fillId="0" borderId="0" xfId="0" applyAlignment="1">
      <alignment horizontal="right"/>
    </xf>
    <xf numFmtId="5" fontId="35" fillId="0" borderId="0" xfId="0" applyNumberFormat="1" applyFont="1" applyFill="1" applyAlignment="1" applyProtection="1">
      <alignment horizontal="right" vertical="center"/>
      <protection hidden="1"/>
    </xf>
    <xf numFmtId="7" fontId="35" fillId="0" borderId="0" xfId="0" applyNumberFormat="1" applyFont="1" applyFill="1" applyAlignment="1" applyProtection="1">
      <alignment horizontal="right" vertical="center"/>
    </xf>
    <xf numFmtId="0" fontId="41" fillId="0" borderId="0" xfId="0" applyFont="1" applyFill="1" applyAlignment="1" applyProtection="1">
      <alignment horizontal="right" vertical="center"/>
    </xf>
    <xf numFmtId="164" fontId="35" fillId="0" borderId="0" xfId="0" applyNumberFormat="1" applyFont="1" applyFill="1" applyAlignment="1" applyProtection="1">
      <alignment horizontal="right" vertical="center"/>
    </xf>
    <xf numFmtId="0" fontId="37" fillId="0" borderId="39" xfId="0" applyFont="1" applyBorder="1" applyAlignment="1">
      <alignment vertical="center"/>
    </xf>
    <xf numFmtId="164" fontId="114" fillId="0" borderId="40" xfId="0" applyNumberFormat="1" applyFont="1" applyFill="1" applyBorder="1" applyAlignment="1">
      <alignment horizontal="left" vertical="center"/>
    </xf>
    <xf numFmtId="164" fontId="113" fillId="0" borderId="40" xfId="0" applyNumberFormat="1" applyFont="1" applyBorder="1" applyAlignment="1">
      <alignment horizontal="left" vertical="center"/>
    </xf>
    <xf numFmtId="164" fontId="114" fillId="0" borderId="40" xfId="0" applyNumberFormat="1" applyFont="1" applyBorder="1" applyAlignment="1">
      <alignment horizontal="left" vertical="center"/>
    </xf>
    <xf numFmtId="164" fontId="114" fillId="0" borderId="41" xfId="0" applyNumberFormat="1" applyFont="1" applyBorder="1" applyAlignment="1">
      <alignment horizontal="left" vertical="center"/>
    </xf>
    <xf numFmtId="0" fontId="120" fillId="58" borderId="0" xfId="0" applyFont="1" applyFill="1" applyBorder="1" applyAlignment="1" applyProtection="1">
      <alignment horizontal="centerContinuous" vertical="center"/>
      <protection hidden="1"/>
    </xf>
    <xf numFmtId="0" fontId="121" fillId="58" borderId="0" xfId="0" applyFont="1" applyFill="1" applyBorder="1" applyAlignment="1" applyProtection="1">
      <alignment horizontal="centerContinuous" vertical="center"/>
      <protection hidden="1"/>
    </xf>
    <xf numFmtId="0" fontId="122" fillId="58" borderId="0" xfId="0" applyFont="1" applyFill="1" applyBorder="1" applyAlignment="1" applyProtection="1">
      <alignment vertical="center"/>
    </xf>
    <xf numFmtId="0" fontId="120" fillId="58" borderId="0" xfId="0" applyFont="1" applyFill="1" applyBorder="1" applyAlignment="1" applyProtection="1">
      <alignment horizontal="centerContinuous" vertical="center"/>
    </xf>
    <xf numFmtId="0" fontId="122" fillId="58" borderId="0" xfId="0" applyFont="1" applyFill="1" applyBorder="1" applyAlignment="1" applyProtection="1">
      <alignment horizontal="centerContinuous" vertical="center"/>
    </xf>
    <xf numFmtId="0" fontId="34" fillId="58" borderId="7" xfId="16" applyFont="1" applyFill="1" applyBorder="1" applyAlignment="1" applyProtection="1">
      <alignment vertical="center"/>
      <protection hidden="1"/>
    </xf>
    <xf numFmtId="0" fontId="34" fillId="58" borderId="8" xfId="16" applyFont="1" applyFill="1" applyBorder="1" applyAlignment="1" applyProtection="1">
      <alignment vertical="center"/>
      <protection hidden="1"/>
    </xf>
    <xf numFmtId="0" fontId="123" fillId="58" borderId="8" xfId="16" applyFont="1" applyFill="1" applyBorder="1" applyAlignment="1" applyProtection="1">
      <alignment horizontal="center" vertical="center"/>
      <protection hidden="1"/>
    </xf>
    <xf numFmtId="0" fontId="34" fillId="58" borderId="9" xfId="16" applyFont="1" applyFill="1" applyBorder="1" applyAlignment="1" applyProtection="1">
      <alignment vertical="center"/>
      <protection hidden="1"/>
    </xf>
    <xf numFmtId="0" fontId="122" fillId="60" borderId="0" xfId="0" applyFont="1" applyFill="1" applyAlignment="1">
      <alignment vertical="center"/>
    </xf>
    <xf numFmtId="0" fontId="120" fillId="60" borderId="0" xfId="0" applyFont="1" applyFill="1" applyAlignment="1">
      <alignment horizontal="centerContinuous" vertical="center"/>
    </xf>
    <xf numFmtId="0" fontId="122" fillId="60" borderId="0" xfId="0" applyFont="1" applyFill="1" applyAlignment="1">
      <alignment horizontal="centerContinuous" vertical="center"/>
    </xf>
    <xf numFmtId="0" fontId="35" fillId="53" borderId="0" xfId="0" applyFont="1" applyFill="1" applyAlignment="1">
      <alignment vertical="center"/>
    </xf>
    <xf numFmtId="0" fontId="49" fillId="53" borderId="0" xfId="0" applyFont="1" applyFill="1" applyAlignment="1">
      <alignment vertical="center"/>
    </xf>
    <xf numFmtId="0" fontId="43" fillId="53" borderId="0" xfId="0" applyFont="1" applyFill="1" applyAlignment="1">
      <alignment horizontal="center" vertical="center"/>
    </xf>
    <xf numFmtId="0" fontId="35" fillId="53" borderId="0" xfId="0" applyFont="1" applyFill="1" applyAlignment="1">
      <alignment horizontal="center" vertical="center"/>
    </xf>
    <xf numFmtId="0" fontId="35" fillId="53" borderId="0" xfId="0" applyFont="1" applyFill="1" applyAlignment="1">
      <alignment horizontal="left" vertical="center"/>
    </xf>
    <xf numFmtId="5" fontId="35" fillId="53" borderId="0" xfId="0" applyNumberFormat="1" applyFont="1" applyFill="1" applyAlignment="1" applyProtection="1">
      <alignment horizontal="center" vertical="center"/>
      <protection hidden="1"/>
    </xf>
    <xf numFmtId="164" fontId="35" fillId="53" borderId="0" xfId="0" applyNumberFormat="1" applyFont="1" applyFill="1" applyAlignment="1">
      <alignment horizontal="center" vertical="center"/>
    </xf>
    <xf numFmtId="5" fontId="37" fillId="53" borderId="0" xfId="0" applyNumberFormat="1" applyFont="1" applyFill="1" applyAlignment="1" applyProtection="1">
      <alignment horizontal="center" vertical="center"/>
      <protection hidden="1"/>
    </xf>
    <xf numFmtId="0" fontId="124" fillId="60" borderId="0" xfId="0" applyFont="1" applyFill="1" applyAlignment="1">
      <alignment horizontal="left" vertical="center"/>
    </xf>
    <xf numFmtId="164" fontId="122" fillId="60" borderId="0" xfId="0" applyNumberFormat="1" applyFont="1" applyFill="1" applyAlignment="1" applyProtection="1">
      <alignment horizontal="center" vertical="center"/>
      <protection hidden="1"/>
    </xf>
    <xf numFmtId="164" fontId="124" fillId="60" borderId="0" xfId="0" applyNumberFormat="1" applyFont="1" applyFill="1" applyAlignment="1" applyProtection="1">
      <alignment horizontal="center" vertical="center"/>
      <protection hidden="1"/>
    </xf>
    <xf numFmtId="164" fontId="122" fillId="60" borderId="0" xfId="0" applyNumberFormat="1" applyFont="1" applyFill="1" applyAlignment="1">
      <alignment horizontal="center" vertical="center"/>
    </xf>
    <xf numFmtId="0" fontId="35" fillId="6" borderId="0" xfId="0" applyFont="1" applyFill="1" applyAlignment="1">
      <alignment vertical="center"/>
    </xf>
    <xf numFmtId="0" fontId="122" fillId="59" borderId="0" xfId="0" applyFont="1" applyFill="1" applyAlignment="1">
      <alignment vertical="center"/>
    </xf>
    <xf numFmtId="0" fontId="120" fillId="59" borderId="0" xfId="0" applyFont="1" applyFill="1" applyAlignment="1">
      <alignment horizontal="centerContinuous" vertical="center" wrapText="1"/>
    </xf>
    <xf numFmtId="0" fontId="35" fillId="59" borderId="0" xfId="0" applyFont="1" applyFill="1" applyAlignment="1" applyProtection="1">
      <alignment horizontal="centerContinuous" vertical="center"/>
      <protection hidden="1"/>
    </xf>
    <xf numFmtId="0" fontId="35" fillId="59" borderId="0" xfId="0" applyFont="1" applyFill="1" applyAlignment="1">
      <alignment vertical="center"/>
    </xf>
    <xf numFmtId="0" fontId="124" fillId="59" borderId="0" xfId="0" applyFont="1" applyFill="1" applyAlignment="1">
      <alignment horizontal="left" vertical="center"/>
    </xf>
    <xf numFmtId="164" fontId="122" fillId="59" borderId="0" xfId="0" applyNumberFormat="1" applyFont="1" applyFill="1" applyAlignment="1" applyProtection="1">
      <alignment horizontal="center" vertical="center"/>
      <protection hidden="1"/>
    </xf>
    <xf numFmtId="164" fontId="124" fillId="59" borderId="0" xfId="0" applyNumberFormat="1" applyFont="1" applyFill="1" applyAlignment="1" applyProtection="1">
      <alignment horizontal="center" vertical="center"/>
      <protection hidden="1"/>
    </xf>
    <xf numFmtId="164" fontId="122" fillId="59" borderId="0" xfId="0" applyNumberFormat="1" applyFont="1" applyFill="1" applyAlignment="1">
      <alignment horizontal="center" vertical="center"/>
    </xf>
    <xf numFmtId="49" fontId="53" fillId="0" borderId="0" xfId="188" applyNumberFormat="1" applyFont="1" applyAlignment="1">
      <alignment horizontal="left" indent="1"/>
    </xf>
    <xf numFmtId="0" fontId="34" fillId="61" borderId="0" xfId="188" applyFont="1" applyFill="1" applyAlignment="1">
      <alignment horizontal="left" indent="1"/>
    </xf>
    <xf numFmtId="168" fontId="34" fillId="61" borderId="42" xfId="188" applyNumberFormat="1" applyFont="1" applyFill="1" applyBorder="1" applyAlignment="1">
      <alignment horizontal="right" indent="1"/>
    </xf>
    <xf numFmtId="168" fontId="53" fillId="0" borderId="42" xfId="188" applyNumberFormat="1" applyFont="1" applyBorder="1" applyAlignment="1">
      <alignment horizontal="right" indent="1"/>
    </xf>
    <xf numFmtId="164" fontId="53" fillId="0" borderId="42" xfId="188" applyNumberFormat="1" applyFont="1" applyBorder="1" applyAlignment="1">
      <alignment horizontal="right" indent="1"/>
    </xf>
    <xf numFmtId="167" fontId="53" fillId="0" borderId="42" xfId="188" applyNumberFormat="1" applyFont="1" applyBorder="1" applyAlignment="1">
      <alignment horizontal="right" indent="1"/>
    </xf>
    <xf numFmtId="0" fontId="115" fillId="0" borderId="0" xfId="188" applyFont="1"/>
    <xf numFmtId="0" fontId="110" fillId="0" borderId="0" xfId="188" applyFont="1" applyAlignment="1">
      <alignment horizontal="right" indent="1"/>
    </xf>
    <xf numFmtId="0" fontId="1" fillId="0" borderId="0" xfId="188" applyFont="1"/>
    <xf numFmtId="0" fontId="1" fillId="0" borderId="0" xfId="188" applyFont="1" applyAlignment="1">
      <alignment horizontal="right" indent="1"/>
    </xf>
    <xf numFmtId="0" fontId="1" fillId="0" borderId="0" xfId="184" applyFont="1" applyAlignment="1" applyProtection="1">
      <alignment vertical="top"/>
      <protection hidden="1"/>
    </xf>
    <xf numFmtId="0" fontId="1" fillId="0" borderId="0" xfId="184" applyFont="1" applyProtection="1">
      <protection hidden="1"/>
    </xf>
    <xf numFmtId="0" fontId="53" fillId="0" borderId="0" xfId="188" applyFont="1" applyAlignment="1">
      <alignment horizontal="center" vertical="top"/>
    </xf>
    <xf numFmtId="168" fontId="34" fillId="58" borderId="42" xfId="185" applyFont="1" applyFill="1" applyBorder="1">
      <alignment horizontal="right" indent="1"/>
    </xf>
    <xf numFmtId="168" fontId="125" fillId="61" borderId="42" xfId="188" applyNumberFormat="1" applyFont="1" applyFill="1" applyBorder="1" applyAlignment="1">
      <alignment horizontal="right" indent="1"/>
    </xf>
    <xf numFmtId="0" fontId="118" fillId="0" borderId="0" xfId="188" applyFont="1" applyFill="1" applyAlignment="1">
      <alignment horizontal="left" indent="1"/>
    </xf>
    <xf numFmtId="0" fontId="40" fillId="6" borderId="0" xfId="0" applyFont="1" applyFill="1" applyAlignment="1" applyProtection="1">
      <alignment horizontal="left" vertical="center"/>
    </xf>
    <xf numFmtId="0" fontId="36" fillId="3" borderId="0" xfId="0" applyFont="1" applyFill="1" applyBorder="1" applyAlignment="1" applyProtection="1">
      <alignment vertical="top" wrapText="1"/>
    </xf>
    <xf numFmtId="0" fontId="36" fillId="3" borderId="0" xfId="0" applyFont="1" applyFill="1" applyAlignment="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E57724"/>
      <color rgb="FF2A7050"/>
      <color rgb="FFB8D9B1"/>
      <color rgb="FF0000FF"/>
      <color rgb="FFF5F5F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115" zoomScaleNormal="115" workbookViewId="0">
      <selection activeCell="I12" sqref="I12"/>
    </sheetView>
  </sheetViews>
  <sheetFormatPr defaultColWidth="9.140625" defaultRowHeight="15" outlineLevelRow="1"/>
  <cols>
    <col min="1" max="2" width="3.7109375" style="129" customWidth="1"/>
    <col min="3" max="3" width="101.5703125" style="129" customWidth="1"/>
    <col min="4" max="5" width="3.7109375" style="129" customWidth="1"/>
    <col min="6" max="16384" width="9.140625" style="129"/>
  </cols>
  <sheetData>
    <row r="1" spans="1:5" ht="18.75">
      <c r="A1" s="223"/>
      <c r="B1" s="224"/>
      <c r="C1" s="225" t="s">
        <v>123</v>
      </c>
      <c r="D1" s="224"/>
      <c r="E1" s="226"/>
    </row>
    <row r="2" spans="1:5">
      <c r="A2" s="130"/>
      <c r="B2" s="131"/>
      <c r="C2" s="131"/>
      <c r="D2" s="131"/>
      <c r="E2" s="132"/>
    </row>
    <row r="3" spans="1:5" ht="54.75" customHeight="1">
      <c r="A3" s="130"/>
      <c r="B3" s="133" t="s">
        <v>7</v>
      </c>
      <c r="C3" s="134" t="str">
        <f>Asmpt!A203</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c r="D3" s="131"/>
      <c r="E3" s="132"/>
    </row>
    <row r="4" spans="1:5" ht="42" customHeight="1">
      <c r="A4" s="130"/>
      <c r="B4" s="133" t="s">
        <v>8</v>
      </c>
      <c r="C4" s="134" t="s">
        <v>261</v>
      </c>
      <c r="D4" s="131"/>
      <c r="E4" s="132"/>
    </row>
    <row r="5" spans="1:5" ht="27.75" customHeight="1">
      <c r="A5" s="130"/>
      <c r="B5" s="133"/>
      <c r="C5" s="13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2023-24 plan year (July 1, 2023 – June 30, 2024). Unless you have a qualifying life event, you cannot change this election until next open enrollment.</v>
      </c>
      <c r="D5" s="131"/>
      <c r="E5" s="132"/>
    </row>
    <row r="6" spans="1:5" ht="17.100000000000001" customHeight="1">
      <c r="A6" s="130"/>
      <c r="B6" s="133"/>
      <c r="C6" s="135" t="s">
        <v>132</v>
      </c>
      <c r="D6" s="131"/>
      <c r="E6" s="132"/>
    </row>
    <row r="7" spans="1:5" ht="42" customHeight="1">
      <c r="A7" s="130"/>
      <c r="B7" s="133"/>
      <c r="C7" s="135" t="s">
        <v>247</v>
      </c>
      <c r="D7" s="131"/>
      <c r="E7" s="132"/>
    </row>
    <row r="8" spans="1:5" ht="17.100000000000001" customHeight="1">
      <c r="A8" s="130"/>
      <c r="B8" s="133"/>
      <c r="C8" s="135" t="s">
        <v>245</v>
      </c>
      <c r="D8" s="131"/>
      <c r="E8" s="132"/>
    </row>
    <row r="9" spans="1:5" ht="45" customHeight="1">
      <c r="A9" s="130"/>
      <c r="B9" s="133"/>
      <c r="C9" s="135" t="s">
        <v>260</v>
      </c>
      <c r="D9" s="131"/>
      <c r="E9" s="132"/>
    </row>
    <row r="10" spans="1:5" ht="17.100000000000001" customHeight="1">
      <c r="A10" s="130"/>
      <c r="B10" s="133"/>
      <c r="C10" s="135" t="s">
        <v>246</v>
      </c>
      <c r="D10" s="131"/>
      <c r="E10" s="132"/>
    </row>
    <row r="11" spans="1:5" ht="40.5" hidden="1" customHeight="1" outlineLevel="1">
      <c r="A11" s="130"/>
      <c r="B11" s="133"/>
      <c r="C11" s="135" t="str">
        <f>Asmpt!A207</f>
        <v>Question #7: If you are considering the HSP Plan, enter the annual health savings account (HSA) contribution you plan to make (not including the amount Green Diamond Resource Company will deposit in your HSA).  This answer does not impact your 2023-24 estimated cost; it is only used on the 'Tax Savings' tab.</v>
      </c>
      <c r="D11" s="131"/>
      <c r="E11" s="132"/>
    </row>
    <row r="12" spans="1:5" ht="42" customHeight="1" collapsed="1">
      <c r="A12" s="130"/>
      <c r="B12" s="133" t="s">
        <v>9</v>
      </c>
      <c r="C12" s="134" t="s">
        <v>262</v>
      </c>
      <c r="D12" s="131"/>
      <c r="E12" s="132"/>
    </row>
    <row r="13" spans="1:5" ht="43.5" customHeight="1">
      <c r="A13" s="130"/>
      <c r="B13" s="133" t="s">
        <v>10</v>
      </c>
      <c r="C13" s="134" t="s">
        <v>248</v>
      </c>
      <c r="D13" s="131"/>
      <c r="E13" s="132"/>
    </row>
    <row r="14" spans="1:5">
      <c r="A14" s="130"/>
      <c r="B14" s="133" t="s">
        <v>11</v>
      </c>
      <c r="C14" s="134" t="s">
        <v>17</v>
      </c>
      <c r="D14" s="131"/>
      <c r="E14" s="132"/>
    </row>
    <row r="15" spans="1:5" ht="17.100000000000001" customHeight="1">
      <c r="A15" s="136"/>
      <c r="B15" s="137"/>
      <c r="C15" s="170" t="s">
        <v>264</v>
      </c>
      <c r="D15" s="138"/>
      <c r="E15" s="139"/>
    </row>
    <row r="16" spans="1:5" ht="17.100000000000001" customHeight="1">
      <c r="A16" s="136"/>
      <c r="B16" s="137"/>
      <c r="C16" s="170" t="str">
        <f>"- All care is received from "&amp;Carrier&amp;" in-network providers."</f>
        <v>- All care is received from Premera in-network providers.</v>
      </c>
      <c r="D16" s="138"/>
      <c r="E16" s="139"/>
    </row>
    <row r="17" spans="1:5" ht="17.100000000000001" customHeight="1">
      <c r="A17" s="136"/>
      <c r="B17" s="137"/>
      <c r="C17" s="170" t="str">
        <f>"- You are not subject to the $100/month working spouse and/or tobacco-user surcharges."</f>
        <v>- You are not subject to the $100/month working spouse and/or tobacco-user surcharges.</v>
      </c>
      <c r="D17" s="138"/>
      <c r="E17" s="139"/>
    </row>
    <row r="18" spans="1:5" ht="28.5" customHeight="1">
      <c r="A18" s="130"/>
      <c r="B18" s="133"/>
      <c r="C18" s="170" t="str">
        <f>"- Office visit average costs: "&amp;TEXT(Cost_PCPOV,"$#,###")&amp;" primary care, "&amp;TEXT(Cost_PhysOcc,"$#,###")&amp;" physical/occupational therapy and massage, "&amp;TEXT(Cost_AltCareOV,"$#,###")&amp;" chiropractic/acupuncture and "&amp;TEXT(Cost_SpecOV,"$#,###")&amp;" for medical or surgical specialists."</f>
        <v>- Office visit average costs: $215 primary care, $145 physical/occupational therapy and massage, $85 chiropractic/acupuncture and $365 for medical or surgical specialists.</v>
      </c>
      <c r="D18" s="131"/>
      <c r="E18" s="132"/>
    </row>
    <row r="19" spans="1:5">
      <c r="A19" s="130"/>
      <c r="B19" s="133"/>
      <c r="C19" s="170" t="str">
        <f>"- Lab and x-ray services cost an average of "&amp;TEXT(Cost__Lab,"$#,###")&amp;" per service."</f>
        <v>- Lab and x-ray services cost an average of $235 per service.</v>
      </c>
      <c r="D19" s="131"/>
      <c r="E19" s="132"/>
    </row>
    <row r="20" spans="1:5" ht="29.25" customHeight="1">
      <c r="A20" s="130"/>
      <c r="B20" s="133"/>
      <c r="C20" s="170" t="str">
        <f>"- MRI/CT/PET scans cost an average of "&amp;TEXT(Cost_MRI,"$#,#,###")&amp;" per service. (Actual costs vary significantly depending on facility, body part and whether contrast is used)."</f>
        <v>- MRI/CT/PET scans cost an average of $2,400 per service. (Actual costs vary significantly depending on facility, body part and whether contrast is used).</v>
      </c>
      <c r="D20" s="131"/>
      <c r="E20" s="132"/>
    </row>
    <row r="21" spans="1:5" hidden="1" outlineLevel="1">
      <c r="A21" s="130"/>
      <c r="B21" s="133"/>
      <c r="C21" s="170" t="s">
        <v>212</v>
      </c>
      <c r="D21" s="131"/>
      <c r="E21" s="132"/>
    </row>
    <row r="22" spans="1:5" ht="27.75" customHeight="1" collapsed="1">
      <c r="A22" s="130"/>
      <c r="B22" s="133"/>
      <c r="C22" s="170" t="str">
        <f>"- An average retail prescription costs "&amp;TEXT(Cost_GenRx,"$#,#,###")&amp;" / "&amp;TEXT(Cost_NonFormGenRx,"$#,#,###")&amp;" / "&amp;TEXT(Cost_BrandRx,"$#,#,###")&amp;" / "&amp;TEXT(Cost_NonFormBrandRx,"$#,#,###")&amp;" per month (preferred generic/non-preferred generic/preferred brand/non-preferred brand)."</f>
        <v>- An average retail prescription costs $30 / $100 / $325 / $450 per month (preferred generic/non-preferred generic/preferred brand/non-preferred brand).</v>
      </c>
      <c r="D22" s="131"/>
      <c r="E22" s="132"/>
    </row>
    <row r="23" spans="1:5" ht="27" customHeight="1">
      <c r="A23" s="130"/>
      <c r="B23" s="133"/>
      <c r="C23" s="170"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$95 / $150 / $1,500 / $2,000 per month (preferred generic/non-preferred generic/preferred brand/non-preferred brand).</v>
      </c>
      <c r="D23" s="131"/>
      <c r="E23" s="132"/>
    </row>
    <row r="24" spans="1:5" ht="29.25" customHeight="1">
      <c r="A24" s="130"/>
      <c r="B24" s="133"/>
      <c r="C24" s="170"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$6,500 / $6,500 per month (preferred/non-preferred). This tool does not reflect any copay assistance that may be available from the manufacturer of a specialty drug.</v>
      </c>
      <c r="D24" s="131"/>
      <c r="E24" s="132"/>
    </row>
    <row r="25" spans="1:5" ht="17.25" customHeight="1">
      <c r="A25" s="130"/>
      <c r="B25" s="133"/>
      <c r="C25" s="169" t="s">
        <v>243</v>
      </c>
      <c r="D25" s="131"/>
      <c r="E25" s="132"/>
    </row>
    <row r="26" spans="1:5" ht="21.75" customHeight="1">
      <c r="A26" s="130"/>
      <c r="B26" s="133" t="s">
        <v>12</v>
      </c>
      <c r="C26" s="134" t="s">
        <v>244</v>
      </c>
      <c r="D26" s="131"/>
      <c r="E26" s="132"/>
    </row>
    <row r="27" spans="1:5" ht="15.75" thickBot="1">
      <c r="A27" s="140"/>
      <c r="B27" s="141" t="s">
        <v>13</v>
      </c>
      <c r="C27" s="142" t="s">
        <v>125</v>
      </c>
      <c r="D27" s="143"/>
      <c r="E27" s="144"/>
    </row>
  </sheetData>
  <sheetProtection algorithmName="SHA-512" hashValue="Vs9h3e5Lww0FDT2bV8c6AssohJ+vhQNfbt0QNDTqouo6VZKC6ZicfVXs/XTTMBKFnMl4154LYSK1ImexYX4NQQ==" saltValue="xQUInVWISNxjfWw1YuRVuw==" spinCount="100000" sheet="1" objects="1" scenarios="1"/>
  <pageMargins left="0.3" right="0.2" top="0.5" bottom="0.5" header="0.3" footer="0.2"/>
  <pageSetup scale="89" orientation="portrait" r:id="rId1"/>
  <headerFooter scaleWithDoc="0">
    <oddFooter>&amp;L&amp;6&amp;F
&amp;D&amp;T&amp;C&amp;"-,Bold"&amp;10Prepared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115" zoomScaleNormal="115" workbookViewId="0">
      <selection activeCell="H70" sqref="H70"/>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1" customWidth="1"/>
    <col min="10" max="10" width="10.7109375" style="205" hidden="1" customWidth="1"/>
    <col min="11" max="11" width="10.7109375" style="206" hidden="1" customWidth="1"/>
    <col min="12" max="16384" width="9.140625" style="31"/>
  </cols>
  <sheetData>
    <row r="1" spans="2:11" ht="10.15" customHeight="1">
      <c r="I1" s="29"/>
      <c r="J1" s="205" t="s">
        <v>196</v>
      </c>
      <c r="K1" s="205" t="s">
        <v>196</v>
      </c>
    </row>
    <row r="2" spans="2:11" ht="20.100000000000001" customHeight="1">
      <c r="B2" s="220"/>
      <c r="C2" s="221" t="s">
        <v>124</v>
      </c>
      <c r="D2" s="222"/>
      <c r="E2" s="222"/>
      <c r="F2" s="222"/>
      <c r="G2" s="222"/>
      <c r="H2" s="220"/>
    </row>
    <row r="3" spans="2:11" ht="5.0999999999999996" customHeight="1">
      <c r="B3" s="153"/>
      <c r="C3" s="154"/>
      <c r="D3" s="153"/>
      <c r="E3" s="153"/>
      <c r="F3" s="153"/>
      <c r="G3" s="153"/>
      <c r="H3" s="155"/>
    </row>
    <row r="4" spans="2:11" ht="44.25" customHeight="1">
      <c r="B4" s="156" t="s">
        <v>7</v>
      </c>
      <c r="C4" s="157" t="str">
        <f>"Select your coverage level for the "&amp;Asmpt!B10&amp;" plan year ("&amp;TEXT(Asmpt!B11,"mmmm d, yyyy")&amp;" – "&amp;TEXT(Asmpt!B12,"mmmm d, yyyy")&amp;") by clicking the appropropriate button to the right."</f>
        <v>Select your coverage level for the 2023-24 plan year (July 1, 2023 – June 30, 2024) by clicking the appropropriate button to the right.</v>
      </c>
      <c r="D4" s="153"/>
      <c r="E4" s="158"/>
      <c r="F4" s="158"/>
      <c r="G4" s="158"/>
      <c r="H4" s="155"/>
      <c r="J4" s="207">
        <v>1</v>
      </c>
      <c r="K4" s="206" t="s">
        <v>148</v>
      </c>
    </row>
    <row r="5" spans="2:11" ht="20.100000000000001" customHeight="1">
      <c r="B5" s="153"/>
      <c r="C5" s="159"/>
      <c r="D5" s="153"/>
      <c r="E5" s="153"/>
      <c r="F5" s="160" t="s">
        <v>2</v>
      </c>
      <c r="G5" s="152"/>
      <c r="H5" s="155"/>
      <c r="J5" s="205">
        <f>IF($J$4=1,1,0)</f>
        <v>1</v>
      </c>
      <c r="K5" s="206">
        <v>1</v>
      </c>
    </row>
    <row r="6" spans="2:11" ht="20.100000000000001" customHeight="1">
      <c r="B6" s="153"/>
      <c r="C6" s="159"/>
      <c r="D6" s="153"/>
      <c r="E6" s="153"/>
      <c r="F6" s="160" t="s">
        <v>30</v>
      </c>
      <c r="G6" s="152"/>
      <c r="H6" s="155"/>
      <c r="J6" s="205">
        <f>IF($J$4=2,1,0)</f>
        <v>0</v>
      </c>
      <c r="K6" s="206">
        <v>2</v>
      </c>
    </row>
    <row r="7" spans="2:11" ht="20.100000000000001" customHeight="1">
      <c r="B7" s="153"/>
      <c r="C7" s="159"/>
      <c r="D7" s="153"/>
      <c r="E7" s="153"/>
      <c r="F7" s="160" t="s">
        <v>25</v>
      </c>
      <c r="G7" s="152"/>
      <c r="H7" s="155"/>
      <c r="J7" s="205">
        <f>IF($J$4=3,1,0)</f>
        <v>0</v>
      </c>
      <c r="K7" s="206">
        <v>2</v>
      </c>
    </row>
    <row r="8" spans="2:11" ht="20.100000000000001" customHeight="1">
      <c r="B8" s="153"/>
      <c r="C8" s="159"/>
      <c r="D8" s="153"/>
      <c r="E8" s="153"/>
      <c r="F8" s="160" t="s">
        <v>18</v>
      </c>
      <c r="G8" s="152"/>
      <c r="H8" s="155"/>
      <c r="J8" s="205">
        <f>IF($J$4=4,1,0)</f>
        <v>0</v>
      </c>
      <c r="K8" s="206">
        <v>3</v>
      </c>
    </row>
    <row r="9" spans="2:11" ht="20.100000000000001" customHeight="1">
      <c r="B9" s="153"/>
      <c r="C9" s="159"/>
      <c r="D9" s="153"/>
      <c r="E9" s="153"/>
      <c r="F9" s="160" t="s">
        <v>23</v>
      </c>
      <c r="G9" s="152"/>
      <c r="H9" s="155"/>
      <c r="J9" s="205">
        <f>IF($J$4=5,1,0)</f>
        <v>0</v>
      </c>
      <c r="K9" s="206">
        <v>3</v>
      </c>
    </row>
    <row r="10" spans="2:11" ht="20.100000000000001" customHeight="1">
      <c r="B10" s="153"/>
      <c r="C10" s="161"/>
      <c r="D10" s="153"/>
      <c r="E10" s="153"/>
      <c r="F10" s="160" t="s">
        <v>22</v>
      </c>
      <c r="G10" s="152"/>
      <c r="H10" s="155"/>
      <c r="J10" s="205">
        <f>IF($J$4=6,1,0)</f>
        <v>0</v>
      </c>
      <c r="K10" s="206">
        <v>4</v>
      </c>
    </row>
    <row r="11" spans="2:11" ht="5.0999999999999996" customHeight="1">
      <c r="B11" s="153"/>
      <c r="C11" s="155"/>
      <c r="D11" s="153"/>
      <c r="E11" s="153"/>
      <c r="F11" s="153"/>
      <c r="G11" s="153"/>
      <c r="H11" s="155"/>
    </row>
    <row r="12" spans="2:11" ht="6" customHeight="1">
      <c r="B12" s="11"/>
      <c r="C12" s="12"/>
      <c r="D12" s="11"/>
      <c r="E12" s="11"/>
      <c r="F12" s="11"/>
      <c r="G12" s="11"/>
      <c r="H12" s="4"/>
    </row>
    <row r="13" spans="2:11" ht="5.0999999999999996" customHeight="1">
      <c r="B13" s="153"/>
      <c r="C13" s="155"/>
      <c r="D13" s="153"/>
      <c r="E13" s="153"/>
      <c r="F13" s="153"/>
      <c r="G13" s="153"/>
      <c r="H13" s="155"/>
    </row>
    <row r="14" spans="2:11" ht="51.75" customHeight="1">
      <c r="B14" s="156" t="s">
        <v>8</v>
      </c>
      <c r="C14" s="157" t="s">
        <v>249</v>
      </c>
      <c r="D14" s="162" t="s">
        <v>33</v>
      </c>
      <c r="E14" s="162" t="s">
        <v>218</v>
      </c>
      <c r="F14" s="162" t="s">
        <v>217</v>
      </c>
      <c r="G14" s="162" t="s">
        <v>21</v>
      </c>
      <c r="H14" s="163"/>
    </row>
    <row r="15" spans="2:11" ht="3.75" customHeight="1">
      <c r="B15" s="156"/>
      <c r="C15" s="157"/>
      <c r="D15" s="164"/>
      <c r="E15" s="164"/>
      <c r="F15" s="164"/>
      <c r="G15" s="164"/>
      <c r="H15" s="163"/>
    </row>
    <row r="16" spans="2:11" ht="15.4" customHeight="1">
      <c r="B16" s="153"/>
      <c r="C16" s="160" t="s">
        <v>20</v>
      </c>
      <c r="D16" s="168">
        <v>0</v>
      </c>
      <c r="E16" s="168">
        <v>0</v>
      </c>
      <c r="F16" s="168">
        <v>0</v>
      </c>
      <c r="G16" s="168">
        <v>0</v>
      </c>
      <c r="H16" s="155"/>
      <c r="J16" s="205">
        <f>INDEX(K5:K10,J4)*Asmpt!C21</f>
        <v>12</v>
      </c>
      <c r="K16" s="206">
        <f>INDEX(K5:K10,J4)*45</f>
        <v>45</v>
      </c>
    </row>
    <row r="17" spans="1:13" ht="24.75" customHeight="1">
      <c r="B17" s="153"/>
      <c r="C17" s="165" t="str">
        <f>IF(OR(D16&lt;0,E16&lt;0,F16&lt;0,G16&lt;0,ISERROR(D16+E16+F16+G16+1)),"Please enter non-negative numbers for office visits.","")</f>
        <v/>
      </c>
      <c r="D17" s="166"/>
      <c r="E17" s="167" t="str">
        <f>"Maximums apply, see note"</f>
        <v>Maximums apply, see note</v>
      </c>
      <c r="F17" s="167" t="str">
        <f>"Maximums apply, see note"</f>
        <v>Maximums apply, see note</v>
      </c>
      <c r="G17" s="166"/>
      <c r="H17" s="155"/>
    </row>
    <row r="18" spans="1:13" ht="5.0999999999999996" customHeight="1">
      <c r="B18" s="153"/>
      <c r="C18" s="155"/>
      <c r="D18" s="153"/>
      <c r="E18" s="153"/>
      <c r="F18" s="153"/>
      <c r="G18" s="153"/>
      <c r="H18" s="155"/>
    </row>
    <row r="19" spans="1:13" ht="6" customHeight="1">
      <c r="B19" s="11"/>
      <c r="C19" s="4"/>
      <c r="D19" s="11"/>
      <c r="E19" s="11"/>
      <c r="F19" s="11"/>
      <c r="G19" s="11"/>
      <c r="H19" s="4"/>
    </row>
    <row r="20" spans="1:13" ht="5.0999999999999996" customHeight="1">
      <c r="B20" s="5"/>
      <c r="C20" s="6"/>
      <c r="D20" s="5"/>
      <c r="E20" s="5"/>
      <c r="F20" s="5"/>
      <c r="G20" s="5"/>
      <c r="H20" s="6"/>
    </row>
    <row r="21" spans="1:13" customFormat="1" ht="93.75" customHeight="1">
      <c r="A21" s="1"/>
      <c r="B21" s="7" t="s">
        <v>9</v>
      </c>
      <c r="C21" s="268" t="s">
        <v>238</v>
      </c>
      <c r="D21" s="268"/>
      <c r="E21" s="14"/>
      <c r="F21" s="14"/>
      <c r="G21" s="14"/>
      <c r="H21" s="13"/>
      <c r="I21" s="31"/>
      <c r="J21" s="205"/>
      <c r="K21" s="208"/>
    </row>
    <row r="22" spans="1:13" customFormat="1" ht="18" customHeight="1">
      <c r="A22" s="1"/>
      <c r="B22" s="7"/>
      <c r="C22" s="196"/>
      <c r="D22" s="194"/>
      <c r="E22" s="8"/>
      <c r="F22" s="15" t="s">
        <v>14</v>
      </c>
      <c r="G22" s="15" t="s">
        <v>15</v>
      </c>
      <c r="H22" s="13"/>
      <c r="I22" s="31"/>
      <c r="J22" s="205"/>
      <c r="K22" s="208"/>
      <c r="M22" s="191"/>
    </row>
    <row r="23" spans="1:13" customFormat="1" ht="15.4" customHeight="1">
      <c r="A23" s="1"/>
      <c r="B23" s="5"/>
      <c r="C23" s="16" t="str">
        <f>IF(OR(MIN(F23:G30)&lt;0,ISERROR(SUM(F23:G30)+1)),"Please enter non-negative numbers for prescriptions.","")</f>
        <v/>
      </c>
      <c r="D23" s="194"/>
      <c r="E23" s="193" t="s">
        <v>197</v>
      </c>
      <c r="F23" s="168">
        <v>0</v>
      </c>
      <c r="G23" s="168">
        <v>0</v>
      </c>
      <c r="H23" s="6"/>
      <c r="I23" s="31"/>
      <c r="J23" s="205"/>
      <c r="K23" s="208"/>
      <c r="M23" s="191"/>
    </row>
    <row r="24" spans="1:13" customFormat="1" ht="15.4" customHeight="1">
      <c r="A24" s="1"/>
      <c r="B24" s="5"/>
      <c r="C24" s="16"/>
      <c r="D24" s="194"/>
      <c r="E24" s="193" t="s">
        <v>198</v>
      </c>
      <c r="F24" s="168">
        <v>0</v>
      </c>
      <c r="G24" s="168">
        <v>0</v>
      </c>
      <c r="H24" s="6"/>
      <c r="I24" s="31"/>
      <c r="J24" s="205"/>
      <c r="K24" s="208"/>
      <c r="M24" s="191"/>
    </row>
    <row r="25" spans="1:13" customFormat="1" ht="15.4" customHeight="1">
      <c r="A25" s="1"/>
      <c r="B25" s="5"/>
      <c r="C25" s="9"/>
      <c r="D25" s="194"/>
      <c r="E25" s="193" t="s">
        <v>3</v>
      </c>
      <c r="F25" s="168">
        <v>0</v>
      </c>
      <c r="G25" s="168">
        <v>0</v>
      </c>
      <c r="H25" s="6"/>
      <c r="I25" s="31"/>
      <c r="J25" s="205"/>
      <c r="K25" s="208"/>
    </row>
    <row r="26" spans="1:13" customFormat="1" ht="15.4" customHeight="1">
      <c r="A26" s="1"/>
      <c r="B26" s="5"/>
      <c r="C26" s="9"/>
      <c r="D26" s="194"/>
      <c r="E26" s="193" t="s">
        <v>4</v>
      </c>
      <c r="F26" s="168">
        <v>0</v>
      </c>
      <c r="G26" s="168">
        <v>0</v>
      </c>
      <c r="H26" s="6"/>
      <c r="I26" s="31"/>
      <c r="J26" s="205"/>
      <c r="K26" s="208"/>
    </row>
    <row r="27" spans="1:13" customFormat="1" ht="15.4" customHeight="1">
      <c r="A27" s="1"/>
      <c r="B27" s="5"/>
      <c r="C27" s="9"/>
      <c r="D27" s="194"/>
      <c r="E27" s="193"/>
      <c r="F27" s="195"/>
      <c r="G27" s="195"/>
      <c r="H27" s="6"/>
      <c r="I27" s="31"/>
      <c r="J27" s="205"/>
      <c r="K27" s="208"/>
    </row>
    <row r="28" spans="1:13" customFormat="1" ht="15.4" customHeight="1">
      <c r="A28" s="1"/>
      <c r="B28" s="5"/>
      <c r="C28" s="9"/>
      <c r="D28" s="194"/>
      <c r="E28" s="193"/>
      <c r="F28" s="15" t="s">
        <v>207</v>
      </c>
      <c r="G28" s="195"/>
      <c r="H28" s="6"/>
      <c r="I28" s="31"/>
      <c r="J28" s="205"/>
      <c r="K28" s="208"/>
    </row>
    <row r="29" spans="1:13" customFormat="1" ht="15.4" customHeight="1">
      <c r="A29" s="1"/>
      <c r="B29" s="5"/>
      <c r="C29" s="9"/>
      <c r="D29" s="194"/>
      <c r="E29" s="193" t="s">
        <v>208</v>
      </c>
      <c r="F29" s="168">
        <v>0</v>
      </c>
      <c r="G29" s="14"/>
      <c r="H29" s="6"/>
      <c r="I29" s="31"/>
      <c r="J29" s="205"/>
      <c r="K29" s="208"/>
    </row>
    <row r="30" spans="1:13" customFormat="1" ht="15.4" customHeight="1">
      <c r="A30" s="1"/>
      <c r="B30" s="5"/>
      <c r="C30" s="9"/>
      <c r="D30" s="194"/>
      <c r="E30" s="193" t="s">
        <v>209</v>
      </c>
      <c r="F30" s="168">
        <v>0</v>
      </c>
      <c r="G30" s="14"/>
      <c r="H30" s="6"/>
      <c r="I30" s="31"/>
      <c r="J30" s="205"/>
      <c r="K30" s="208"/>
    </row>
    <row r="31" spans="1:13" ht="5.0999999999999996" customHeight="1">
      <c r="B31" s="5"/>
      <c r="C31" s="6"/>
      <c r="D31" s="5"/>
      <c r="E31" s="5"/>
      <c r="F31" s="5"/>
      <c r="G31" s="5"/>
      <c r="H31" s="6"/>
    </row>
    <row r="32" spans="1:13" ht="6" customHeight="1">
      <c r="B32" s="11"/>
      <c r="C32" s="18"/>
      <c r="D32" s="11"/>
      <c r="E32" s="11"/>
      <c r="F32" s="11"/>
      <c r="G32" s="11"/>
      <c r="H32" s="4"/>
    </row>
    <row r="33" spans="2:8" ht="5.0999999999999996" customHeight="1">
      <c r="B33" s="5"/>
      <c r="C33" s="6"/>
      <c r="D33" s="5"/>
      <c r="E33" s="5"/>
      <c r="F33" s="5"/>
      <c r="G33" s="5"/>
      <c r="H33" s="6"/>
    </row>
    <row r="34" spans="2:8" ht="52.5" customHeight="1">
      <c r="B34" s="7" t="s">
        <v>10</v>
      </c>
      <c r="C34" s="268" t="s">
        <v>136</v>
      </c>
      <c r="D34" s="268"/>
      <c r="E34" s="13"/>
      <c r="F34" s="13"/>
      <c r="G34" s="13"/>
      <c r="H34" s="13"/>
    </row>
    <row r="35" spans="2:8" ht="15.4" customHeight="1">
      <c r="B35" s="5"/>
      <c r="C35" s="9"/>
      <c r="D35" s="5"/>
      <c r="E35" s="17"/>
      <c r="F35" s="17" t="s">
        <v>214</v>
      </c>
      <c r="G35" s="168">
        <v>0</v>
      </c>
      <c r="H35" s="6"/>
    </row>
    <row r="36" spans="2:8" ht="15.4" customHeight="1">
      <c r="B36" s="5"/>
      <c r="C36" s="9"/>
      <c r="D36" s="5"/>
      <c r="E36" s="17"/>
      <c r="F36" s="17" t="s">
        <v>215</v>
      </c>
      <c r="G36" s="168">
        <v>0</v>
      </c>
      <c r="H36" s="6"/>
    </row>
    <row r="37" spans="2:8" ht="15.4" hidden="1" customHeight="1" outlineLevel="1">
      <c r="B37" s="5"/>
      <c r="C37" s="19" t="str">
        <f>IF(OR(G37&lt;0,G36&lt;0,G35&lt;0,ISERROR(G37+G36+G35+1)),"Please enter non-negative numbers for Outpatient Diagnostic Procedures.","")</f>
        <v/>
      </c>
      <c r="D37" s="5"/>
      <c r="E37" s="17"/>
      <c r="F37" s="17" t="s">
        <v>212</v>
      </c>
      <c r="G37" s="168"/>
      <c r="H37" s="6"/>
    </row>
    <row r="38" spans="2:8" ht="5.0999999999999996" customHeight="1" collapsed="1">
      <c r="B38" s="5"/>
      <c r="C38" s="6"/>
      <c r="D38" s="5"/>
      <c r="E38" s="5"/>
      <c r="F38" s="5"/>
      <c r="G38" s="5"/>
      <c r="H38" s="6"/>
    </row>
    <row r="39" spans="2:8" ht="6" customHeight="1">
      <c r="B39" s="11"/>
      <c r="C39" s="4"/>
      <c r="D39" s="11"/>
      <c r="E39" s="11"/>
      <c r="F39" s="11"/>
      <c r="G39" s="11"/>
      <c r="H39" s="4"/>
    </row>
    <row r="40" spans="2:8" ht="5.0999999999999996" customHeight="1">
      <c r="B40" s="5"/>
      <c r="C40" s="6"/>
      <c r="D40" s="5"/>
      <c r="E40" s="5"/>
      <c r="F40" s="5"/>
      <c r="G40" s="5"/>
      <c r="H40" s="6"/>
    </row>
    <row r="41" spans="2:8" ht="42.75" customHeight="1">
      <c r="B41" s="7" t="s">
        <v>11</v>
      </c>
      <c r="C41" s="8" t="s">
        <v>137</v>
      </c>
      <c r="D41" s="20"/>
      <c r="E41" s="14"/>
      <c r="F41" s="14"/>
      <c r="G41" s="14"/>
      <c r="H41" s="13"/>
    </row>
    <row r="42" spans="2:8" ht="15.4" customHeight="1">
      <c r="B42" s="5"/>
      <c r="C42" s="19" t="str">
        <f>IF(OR(G42&lt;0,ISERROR(G42+1)),"Please enter a non-negative number for Outpatient Procedures.","")</f>
        <v/>
      </c>
      <c r="D42" s="5"/>
      <c r="E42" s="17"/>
      <c r="F42" s="17" t="s">
        <v>1</v>
      </c>
      <c r="G42" s="171">
        <v>0</v>
      </c>
      <c r="H42" s="6"/>
    </row>
    <row r="43" spans="2:8" ht="6" customHeight="1">
      <c r="B43" s="11"/>
      <c r="C43" s="4"/>
      <c r="D43" s="11"/>
      <c r="E43" s="11"/>
      <c r="F43" s="11"/>
      <c r="G43" s="11"/>
      <c r="H43" s="4"/>
    </row>
    <row r="44" spans="2:8" ht="5.0999999999999996" customHeight="1">
      <c r="B44" s="5"/>
      <c r="C44" s="6"/>
      <c r="D44" s="5"/>
      <c r="E44" s="5"/>
      <c r="F44" s="5"/>
      <c r="G44" s="5"/>
      <c r="H44" s="6"/>
    </row>
    <row r="45" spans="2:8" ht="51" customHeight="1">
      <c r="B45" s="7" t="s">
        <v>12</v>
      </c>
      <c r="C45" s="268" t="s">
        <v>224</v>
      </c>
      <c r="D45" s="268"/>
      <c r="E45" s="14"/>
      <c r="F45" s="14"/>
      <c r="G45" s="14"/>
      <c r="H45" s="13"/>
    </row>
    <row r="46" spans="2:8" ht="15.4" customHeight="1">
      <c r="B46" s="5"/>
      <c r="C46" s="19" t="str">
        <f>IF(OR(G46&lt;0,ISERROR(G46+1)),"Please enter a non-negative number for Total Other Expenses.","")</f>
        <v/>
      </c>
      <c r="D46" s="5"/>
      <c r="E46" s="17"/>
      <c r="F46" s="17" t="s">
        <v>0</v>
      </c>
      <c r="G46" s="171">
        <v>0</v>
      </c>
      <c r="H46" s="6"/>
    </row>
    <row r="47" spans="2:8" ht="5.0999999999999996" customHeight="1">
      <c r="B47" s="5"/>
      <c r="C47" s="6"/>
      <c r="D47" s="5"/>
      <c r="E47" s="5"/>
      <c r="F47" s="5"/>
      <c r="G47" s="5"/>
      <c r="H47" s="6"/>
    </row>
    <row r="48" spans="2:8" ht="6" customHeight="1">
      <c r="B48" s="11"/>
      <c r="C48" s="21"/>
      <c r="D48" s="11"/>
      <c r="E48" s="22"/>
      <c r="F48" s="22"/>
      <c r="G48" s="22"/>
      <c r="H48" s="4"/>
    </row>
    <row r="49" spans="2:11" ht="5.0999999999999996" hidden="1" customHeight="1" outlineLevel="1">
      <c r="B49" s="5"/>
      <c r="C49" s="6"/>
      <c r="D49" s="5"/>
      <c r="E49" s="5"/>
      <c r="F49" s="5"/>
      <c r="G49" s="5"/>
      <c r="H49" s="6"/>
    </row>
    <row r="50" spans="2:11" ht="41.25" hidden="1" customHeight="1" outlineLevel="1">
      <c r="B50" s="7" t="s">
        <v>13</v>
      </c>
      <c r="C50" s="269" t="str">
        <f>"If you are considering participating in the "&amp;Asmpt!C40&amp;" (the health savings account option), and you plan to contribute funds (beyond what "&amp;Asmpt!B5&amp;" will contribute), enter the amount here. Any amount you enter will not be included as a 'cost' in the table below."</f>
        <v>If you are considering participating in the HSP Plan (the health savings account option), and you plan to contribute funds (beyond what Green Diamond Resource Company will contribute), enter the amount here. Any amount you enter will not be included as a 'cost' in the table below.</v>
      </c>
      <c r="D50" s="269"/>
      <c r="E50" s="14"/>
      <c r="F50" s="14"/>
      <c r="G50" s="14"/>
      <c r="H50" s="13"/>
    </row>
    <row r="51" spans="2:11" ht="15.4" hidden="1" customHeight="1" outlineLevel="1">
      <c r="B51" s="5"/>
      <c r="C51" s="33"/>
      <c r="D51" s="5"/>
      <c r="E51" s="17"/>
      <c r="F51" s="17" t="s">
        <v>19</v>
      </c>
      <c r="G51" s="171">
        <v>0</v>
      </c>
      <c r="H51" s="6"/>
      <c r="J51" s="205">
        <f>IF(J4=1,3850,7750)-INDEX(Asmpt!C184:C189,J4)</f>
        <v>2700</v>
      </c>
    </row>
    <row r="52" spans="2:11" ht="5.0999999999999996" hidden="1" customHeight="1" outlineLevel="1">
      <c r="B52" s="5"/>
      <c r="C52" s="6"/>
      <c r="D52" s="5"/>
      <c r="E52" s="5"/>
      <c r="F52" s="5"/>
      <c r="G52" s="5"/>
      <c r="H52" s="6"/>
    </row>
    <row r="53" spans="2:11" ht="6" hidden="1" customHeight="1" outlineLevel="1">
      <c r="B53" s="11"/>
      <c r="C53" s="23"/>
      <c r="D53" s="11"/>
      <c r="E53" s="11"/>
      <c r="F53" s="11"/>
      <c r="G53" s="11"/>
      <c r="H53" s="4"/>
    </row>
    <row r="54" spans="2:11" ht="12.75" customHeight="1" collapsed="1">
      <c r="C54" s="1"/>
    </row>
    <row r="55" spans="2:11" ht="20.100000000000001" customHeight="1">
      <c r="B55" s="227"/>
      <c r="C55" s="228" t="str">
        <f>"Your "&amp;Asmpt!B10&amp;" Estimated Cost, Based on Your Responses"</f>
        <v>Your 2023-24 Estimated Cost, Based on Your Responses</v>
      </c>
      <c r="D55" s="229"/>
      <c r="E55" s="229"/>
      <c r="F55" s="229"/>
      <c r="G55" s="229"/>
      <c r="H55" s="227"/>
    </row>
    <row r="56" spans="2:11" ht="18.399999999999999" customHeight="1">
      <c r="B56" s="230"/>
      <c r="C56" s="231"/>
      <c r="D56" s="232"/>
      <c r="E56" s="232" t="str">
        <f>Asmpt!B40</f>
        <v>PPO Plan</v>
      </c>
      <c r="F56" s="232" t="str">
        <f>Asmpt!C40</f>
        <v>HSP Plan</v>
      </c>
      <c r="G56" s="232" t="str">
        <f>IF(Asmpt!D40="NA","",Asmpt!D40)</f>
        <v/>
      </c>
      <c r="H56" s="233"/>
    </row>
    <row r="57" spans="2:11" ht="15.4" customHeight="1">
      <c r="B57" s="230"/>
      <c r="C57" s="234" t="str">
        <f>"Annual Employee Premium"&amp;REPT(".",200)</f>
        <v>Annual Employee Premium........................................................................................................................................................................................................</v>
      </c>
      <c r="D57" s="235" t="str">
        <f>REPT(".",30)</f>
        <v>..............................</v>
      </c>
      <c r="E57" s="235">
        <f>SUMPRODUCT($J5:$J10,Asmpt!B193:B198)*12</f>
        <v>1356</v>
      </c>
      <c r="F57" s="235">
        <f>SUMPRODUCT($J5:$J10,Asmpt!C193:C198)*12</f>
        <v>864</v>
      </c>
      <c r="G57" s="235" t="str">
        <f>IF(G56="","",SUMPRODUCT($J5:$J10,Asmpt!D193:D198)*12)</f>
        <v/>
      </c>
      <c r="H57" s="236"/>
      <c r="J57" s="209"/>
      <c r="K57" s="210"/>
    </row>
    <row r="58" spans="2:11" ht="15.4" customHeight="1">
      <c r="B58" s="230"/>
      <c r="C58" s="234" t="str">
        <f>"Copays"&amp;REPT(".",200)</f>
        <v>Copays........................................................................................................................................................................................................</v>
      </c>
      <c r="D58" s="235" t="str">
        <f>REPT(".",30)</f>
        <v>..............................</v>
      </c>
      <c r="E58" s="235">
        <f>'Plan 1 Calcs'!C34</f>
        <v>0</v>
      </c>
      <c r="F58" s="235">
        <f>'Plan 2 Calcs'!C34</f>
        <v>0</v>
      </c>
      <c r="G58" s="235" t="str">
        <f>IF(G56="","",'Plan 3 Calcs'!C34)</f>
        <v/>
      </c>
      <c r="H58" s="236"/>
    </row>
    <row r="59" spans="2:11" ht="15.4" customHeight="1">
      <c r="B59" s="230"/>
      <c r="C59" s="234" t="str">
        <f>"Deductible"&amp;REPT(".",200)</f>
        <v>Deductible........................................................................................................................................................................................................</v>
      </c>
      <c r="D59" s="235" t="str">
        <f>REPT(".",30)</f>
        <v>..............................</v>
      </c>
      <c r="E59" s="235">
        <f>'Plan 1 Calcs'!C35</f>
        <v>0</v>
      </c>
      <c r="F59" s="235">
        <f>'Plan 2 Calcs'!C35</f>
        <v>0</v>
      </c>
      <c r="G59" s="235" t="str">
        <f>IF(G56="","",'Plan 3 Calcs'!C35)</f>
        <v/>
      </c>
      <c r="H59" s="236"/>
      <c r="J59" s="211"/>
    </row>
    <row r="60" spans="2:11" ht="15.4" customHeight="1">
      <c r="B60" s="230"/>
      <c r="C60" s="234" t="str">
        <f>"Coinsurance"&amp;REPT(".",200)</f>
        <v>Coinsurance........................................................................................................................................................................................................</v>
      </c>
      <c r="D60" s="235" t="str">
        <f>REPT(".",30)</f>
        <v>..............................</v>
      </c>
      <c r="E60" s="237">
        <f>'Plan 1 Calcs'!C36</f>
        <v>0</v>
      </c>
      <c r="F60" s="237">
        <f>'Plan 2 Calcs'!C36</f>
        <v>0</v>
      </c>
      <c r="G60" s="237" t="str">
        <f>IF(G56="","",'Plan 3 Calcs'!C36)</f>
        <v/>
      </c>
      <c r="H60" s="236"/>
    </row>
    <row r="61" spans="2:11" ht="15.4" customHeight="1">
      <c r="B61" s="227"/>
      <c r="C61" s="238" t="s">
        <v>16</v>
      </c>
      <c r="D61" s="239"/>
      <c r="E61" s="240">
        <f>SUM(E57:E60)</f>
        <v>1356</v>
      </c>
      <c r="F61" s="240">
        <f>SUM(F57:F60)</f>
        <v>864</v>
      </c>
      <c r="G61" s="240" t="str">
        <f>IF(G56="","",SUM(G57:G60))</f>
        <v/>
      </c>
      <c r="H61" s="241"/>
    </row>
    <row r="62" spans="2:11" ht="15.4" customHeight="1">
      <c r="B62" s="227"/>
      <c r="C62" s="238" t="s">
        <v>267</v>
      </c>
      <c r="D62" s="239"/>
      <c r="E62" s="240">
        <f>IF(Asmpt!B43="PPO",E61,E61-'Plan 1 Calcs'!C37)</f>
        <v>1356</v>
      </c>
      <c r="F62" s="240">
        <f>IF(Asmpt!C43="PPO",F61,F61+'Plan 2 Calcs'!C37)</f>
        <v>864</v>
      </c>
      <c r="G62" s="240" t="str">
        <f>IF(G56="","",IF(Asmpt!D43="HSA",G61+'Plan 3 Calcs'!C37,"NA"))</f>
        <v/>
      </c>
      <c r="H62" s="241"/>
      <c r="K62" s="212"/>
    </row>
    <row r="63" spans="2:11" ht="12.75" customHeight="1">
      <c r="B63" s="242"/>
      <c r="C63" s="242"/>
      <c r="D63" s="10"/>
      <c r="E63" s="10"/>
      <c r="F63" s="10"/>
      <c r="G63" s="10"/>
      <c r="H63" s="242"/>
    </row>
    <row r="64" spans="2:11" ht="20.100000000000001" customHeight="1">
      <c r="B64" s="243"/>
      <c r="C64" s="244" t="str">
        <f>"Your "&amp;Asmpt!B10&amp;" Maximum Cost ('Worst Case Scenario') *"</f>
        <v>Your 2023-24 Maximum Cost ('Worst Case Scenario') *</v>
      </c>
      <c r="D64" s="245"/>
      <c r="E64" s="245"/>
      <c r="F64" s="245"/>
      <c r="G64" s="245"/>
      <c r="H64" s="246"/>
    </row>
    <row r="65" spans="2:11" ht="18.399999999999999" customHeight="1">
      <c r="B65" s="230"/>
      <c r="C65" s="231"/>
      <c r="D65" s="232"/>
      <c r="E65" s="232" t="str">
        <f t="shared" ref="E65:G65" si="0">E56</f>
        <v>PPO Plan</v>
      </c>
      <c r="F65" s="232" t="str">
        <f t="shared" si="0"/>
        <v>HSP Plan</v>
      </c>
      <c r="G65" s="232" t="str">
        <f t="shared" si="0"/>
        <v/>
      </c>
      <c r="H65" s="233"/>
    </row>
    <row r="66" spans="2:11" ht="15.4" customHeight="1">
      <c r="B66" s="230"/>
      <c r="C66" s="234" t="str">
        <f>"Annual Employee Premium"&amp;REPT(".",200)</f>
        <v>Annual Employee Premium........................................................................................................................................................................................................</v>
      </c>
      <c r="D66" s="235" t="str">
        <f>REPT(".",30)</f>
        <v>..............................</v>
      </c>
      <c r="E66" s="235">
        <f t="shared" ref="E66:G66" si="1">E57</f>
        <v>1356</v>
      </c>
      <c r="F66" s="235">
        <f t="shared" si="1"/>
        <v>864</v>
      </c>
      <c r="G66" s="235" t="str">
        <f t="shared" si="1"/>
        <v/>
      </c>
      <c r="H66" s="236"/>
      <c r="J66" s="209"/>
      <c r="K66" s="210"/>
    </row>
    <row r="67" spans="2:11" ht="15.4" customHeight="1">
      <c r="B67" s="230"/>
      <c r="C67" s="234" t="str">
        <f>"Out-of-Pocket Cost (copays, deductible, and coinsurance)"&amp;REPT(".",200)</f>
        <v>Out-of-Pocket Cost (copays, deductible, and coinsurance)........................................................................................................................................................................................................</v>
      </c>
      <c r="D67" s="235" t="str">
        <f>REPT(".",30)</f>
        <v>..............................</v>
      </c>
      <c r="E67" s="235">
        <f>'Plan 1 Calcs'!C52</f>
        <v>3000</v>
      </c>
      <c r="F67" s="235">
        <f>'Plan 2 Calcs'!C52</f>
        <v>4500</v>
      </c>
      <c r="G67" s="235" t="str">
        <f>IF(G65="","",'Plan 3 Calcs'!C52)</f>
        <v/>
      </c>
      <c r="H67" s="236"/>
    </row>
    <row r="68" spans="2:11" ht="15.4" customHeight="1">
      <c r="B68" s="243"/>
      <c r="C68" s="247" t="s">
        <v>239</v>
      </c>
      <c r="D68" s="248"/>
      <c r="E68" s="249">
        <f>SUM(E66:E67)</f>
        <v>4356</v>
      </c>
      <c r="F68" s="249">
        <f>SUM(F66:F67)</f>
        <v>5364</v>
      </c>
      <c r="G68" s="249" t="str">
        <f>IF(G65="","",SUM(G66:G67))</f>
        <v/>
      </c>
      <c r="H68" s="250"/>
    </row>
    <row r="69" spans="2:11" ht="15.4" customHeight="1">
      <c r="B69" s="243"/>
      <c r="C69" s="247" t="s">
        <v>266</v>
      </c>
      <c r="D69" s="248"/>
      <c r="E69" s="249">
        <f>IF(Asmpt!B43="PPO",E68,E68-'Plan 1 Calcs'!C53)</f>
        <v>4356</v>
      </c>
      <c r="F69" s="249">
        <f>IF(Asmpt!C43="HSA",F68+'Plan 2 Calcs'!C53,"NA")</f>
        <v>4214</v>
      </c>
      <c r="G69" s="249" t="str">
        <f>IF(G65="","",IF(Asmpt!D53="HSA",G68+'Plan 3 Calcs'!C46,"NA"))</f>
        <v/>
      </c>
      <c r="H69" s="250"/>
    </row>
    <row r="70" spans="2:11" ht="13.5" customHeight="1">
      <c r="C70" s="267" t="s">
        <v>268</v>
      </c>
      <c r="D70" s="24"/>
      <c r="E70" s="24"/>
      <c r="F70" s="24"/>
      <c r="G70" s="24"/>
      <c r="H70" s="24"/>
    </row>
    <row r="71" spans="2:11" ht="15.4" customHeight="1">
      <c r="C71" s="25"/>
      <c r="E71" s="26"/>
      <c r="F71" s="27"/>
      <c r="G71" s="27"/>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me0apfqK3Okr5wSHvh9povZit7axQyOxjjAe1RYSnbhkNm4DSfgg/mNu+GVhE9zyLuzZlwu2RcWfdizpS8RIag==" saltValue="2nPs6pBD9oxcy+1dH0EpTg==" spinCount="100000" sheet="1" objects="1" scenarios="1"/>
  <dataConsolidate/>
  <mergeCells count="4">
    <mergeCell ref="C45:D45"/>
    <mergeCell ref="C50:D50"/>
    <mergeCell ref="C21:D21"/>
    <mergeCell ref="C34:D34"/>
  </mergeCells>
  <phoneticPr fontId="13" type="noConversion"/>
  <conditionalFormatting sqref="F57:G60">
    <cfRule type="cellIs" dxfId="3" priority="4" stopIfTrue="1" operator="equal">
      <formula>"Input Error"</formula>
    </cfRule>
  </conditionalFormatting>
  <conditionalFormatting sqref="E57:E60">
    <cfRule type="cellIs" dxfId="2" priority="3"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2023 limit." sqref="G51" xr:uid="{00000000-0002-0000-0100-000006000000}">
      <formula1>0</formula1>
      <formula2>J51+1000</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D8" sqref="D8"/>
    </sheetView>
  </sheetViews>
  <sheetFormatPr defaultColWidth="9.140625" defaultRowHeight="12.75"/>
  <cols>
    <col min="1" max="1" width="1.5703125" style="185" customWidth="1"/>
    <col min="2" max="2" width="38.5703125" style="184" customWidth="1"/>
    <col min="3" max="3" width="5.140625" style="184" customWidth="1"/>
    <col min="4" max="4" width="12" style="184" customWidth="1"/>
    <col min="5" max="5" width="5.140625" style="184" customWidth="1"/>
    <col min="6" max="6" width="12" style="184" customWidth="1"/>
    <col min="7" max="7" width="5.140625" style="184" customWidth="1"/>
    <col min="8" max="8" width="12" style="124" customWidth="1"/>
    <col min="9" max="9" width="1.5703125" style="185" customWidth="1"/>
    <col min="10" max="16384" width="9.140625" style="184"/>
  </cols>
  <sheetData>
    <row r="1" spans="1:11" s="182" customFormat="1" ht="10.5" customHeight="1">
      <c r="A1" s="30"/>
      <c r="B1" s="30"/>
      <c r="C1" s="30"/>
      <c r="D1" s="179"/>
      <c r="E1" s="30"/>
      <c r="F1" s="32"/>
      <c r="G1" s="30"/>
      <c r="H1" s="32"/>
      <c r="I1" s="30"/>
      <c r="J1" s="30"/>
      <c r="K1" s="30"/>
    </row>
    <row r="2" spans="1:11" s="183" customFormat="1" ht="18" customHeight="1">
      <c r="A2" s="180"/>
      <c r="B2" s="218" t="s">
        <v>163</v>
      </c>
      <c r="C2" s="218"/>
      <c r="D2" s="219"/>
      <c r="E2" s="218"/>
      <c r="F2" s="219"/>
      <c r="G2" s="218"/>
      <c r="H2" s="219"/>
      <c r="I2" s="180"/>
      <c r="J2" s="180"/>
      <c r="K2" s="180"/>
    </row>
    <row r="3" spans="1:11" ht="16.5" customHeight="1">
      <c r="A3" s="30"/>
      <c r="B3" s="124"/>
      <c r="C3" s="124"/>
      <c r="D3" s="124"/>
      <c r="E3" s="124"/>
      <c r="F3" s="124"/>
      <c r="G3" s="124"/>
      <c r="I3" s="30"/>
      <c r="J3" s="124"/>
      <c r="K3" s="124"/>
    </row>
    <row r="4" spans="1:11" ht="16.5" customHeight="1">
      <c r="A4" s="30"/>
      <c r="B4" s="124"/>
      <c r="C4" s="124"/>
      <c r="D4" s="199" t="s">
        <v>122</v>
      </c>
      <c r="E4" s="124"/>
      <c r="F4" s="181">
        <v>0.22</v>
      </c>
      <c r="G4" s="124"/>
      <c r="I4" s="30"/>
      <c r="J4" s="124"/>
      <c r="K4" s="124"/>
    </row>
    <row r="5" spans="1:11" ht="16.5" customHeight="1">
      <c r="A5" s="30"/>
      <c r="B5" s="124"/>
      <c r="C5" s="124"/>
      <c r="D5" s="124"/>
      <c r="E5" s="124"/>
      <c r="F5" s="124"/>
      <c r="G5" s="124"/>
      <c r="I5" s="30"/>
      <c r="J5" s="124"/>
      <c r="K5" s="124"/>
    </row>
    <row r="6" spans="1:11" ht="16.5" customHeight="1">
      <c r="A6" s="30"/>
      <c r="B6" s="124"/>
      <c r="C6" s="124"/>
      <c r="D6" s="124"/>
      <c r="E6" s="124"/>
      <c r="F6" s="124"/>
      <c r="G6" s="124"/>
      <c r="I6" s="30"/>
      <c r="J6" s="124"/>
      <c r="K6" s="124"/>
    </row>
    <row r="7" spans="1:11" ht="16.5" customHeight="1">
      <c r="A7" s="149"/>
      <c r="B7" s="204" t="str">
        <f>Plan_Year&amp;" Plan Options"</f>
        <v>2023-24 Plan Options</v>
      </c>
      <c r="C7" s="145"/>
      <c r="D7" s="204" t="s">
        <v>140</v>
      </c>
      <c r="E7" s="145"/>
      <c r="F7" s="204" t="s">
        <v>141</v>
      </c>
      <c r="G7" s="145"/>
      <c r="H7" s="145"/>
      <c r="I7" s="149"/>
      <c r="J7" s="149"/>
      <c r="K7" s="149"/>
    </row>
    <row r="8" spans="1:11" ht="16.5" customHeight="1">
      <c r="A8" s="149"/>
      <c r="B8" s="200" t="s">
        <v>26</v>
      </c>
      <c r="C8" s="146"/>
      <c r="D8" s="201">
        <f>'Cost Estimator'!E57</f>
        <v>1356</v>
      </c>
      <c r="E8" s="146"/>
      <c r="F8" s="201">
        <f>'Cost Estimator'!F57</f>
        <v>864</v>
      </c>
      <c r="G8" s="146"/>
      <c r="H8" s="148"/>
      <c r="I8" s="149"/>
      <c r="J8" s="149"/>
      <c r="K8" s="149"/>
    </row>
    <row r="9" spans="1:11" ht="16.5" customHeight="1">
      <c r="A9" s="149"/>
      <c r="B9" s="200" t="s">
        <v>27</v>
      </c>
      <c r="C9" s="146"/>
      <c r="D9" s="147"/>
      <c r="E9" s="146"/>
      <c r="F9" s="201">
        <f>'Cost Estimator'!G51</f>
        <v>0</v>
      </c>
      <c r="G9" s="146"/>
      <c r="H9" s="149"/>
      <c r="I9" s="149"/>
      <c r="J9" s="149"/>
      <c r="K9" s="149"/>
    </row>
    <row r="10" spans="1:11" ht="16.5" customHeight="1">
      <c r="A10" s="149"/>
      <c r="B10" s="200" t="s">
        <v>28</v>
      </c>
      <c r="C10" s="146"/>
      <c r="D10" s="201">
        <f>D9+D8</f>
        <v>1356</v>
      </c>
      <c r="E10" s="146"/>
      <c r="F10" s="201">
        <f>F8+F9</f>
        <v>864</v>
      </c>
      <c r="G10" s="146"/>
      <c r="H10" s="148"/>
      <c r="I10" s="149"/>
      <c r="J10" s="149"/>
      <c r="K10" s="149"/>
    </row>
    <row r="11" spans="1:11" ht="16.5" customHeight="1">
      <c r="A11" s="149"/>
      <c r="B11" s="146"/>
      <c r="C11" s="146"/>
      <c r="D11" s="147"/>
      <c r="E11" s="146"/>
      <c r="F11" s="147"/>
      <c r="G11" s="146"/>
      <c r="H11" s="149"/>
      <c r="I11" s="149"/>
      <c r="J11" s="149"/>
      <c r="K11" s="149"/>
    </row>
    <row r="12" spans="1:11" ht="16.5" customHeight="1">
      <c r="A12" s="149"/>
      <c r="B12" s="149"/>
      <c r="C12" s="149"/>
      <c r="D12" s="150"/>
      <c r="E12" s="149"/>
      <c r="F12" s="150"/>
      <c r="G12" s="149"/>
      <c r="H12" s="149"/>
      <c r="I12" s="149"/>
      <c r="J12" s="149"/>
      <c r="K12" s="149"/>
    </row>
    <row r="13" spans="1:11" ht="16.5" customHeight="1">
      <c r="A13" s="149"/>
      <c r="B13" s="149"/>
      <c r="C13" s="149"/>
      <c r="D13" s="146"/>
      <c r="E13" s="146"/>
      <c r="F13" s="202" t="s">
        <v>165</v>
      </c>
      <c r="G13" s="149"/>
      <c r="H13" s="203">
        <f>D10-F10</f>
        <v>492</v>
      </c>
      <c r="I13" s="149"/>
      <c r="J13" s="149"/>
      <c r="K13" s="149"/>
    </row>
    <row r="14" spans="1:11" ht="16.5" customHeight="1">
      <c r="A14" s="149"/>
      <c r="B14" s="149"/>
      <c r="C14" s="149"/>
      <c r="D14" s="146"/>
      <c r="E14" s="146"/>
      <c r="F14" s="146"/>
      <c r="G14" s="149"/>
      <c r="H14" s="148"/>
      <c r="I14" s="149"/>
      <c r="J14" s="149"/>
      <c r="K14" s="149"/>
    </row>
    <row r="15" spans="1:11" ht="16.5" customHeight="1">
      <c r="A15" s="149"/>
      <c r="B15" s="149"/>
      <c r="C15" s="149"/>
      <c r="D15" s="146"/>
      <c r="E15" s="146"/>
      <c r="F15" s="202" t="s">
        <v>166</v>
      </c>
      <c r="G15" s="149"/>
      <c r="H15" s="203">
        <f>H13*(1-$F$4)</f>
        <v>383.76</v>
      </c>
      <c r="I15" s="149"/>
      <c r="J15" s="149"/>
      <c r="K15" s="149"/>
    </row>
    <row r="16" spans="1:11" ht="16.5" customHeight="1">
      <c r="A16" s="30"/>
      <c r="B16" s="30"/>
      <c r="C16" s="30"/>
      <c r="D16" s="30"/>
      <c r="E16" s="30"/>
      <c r="F16" s="30"/>
      <c r="G16" s="30"/>
      <c r="I16" s="30"/>
      <c r="J16" s="124"/>
      <c r="K16" s="124"/>
    </row>
    <row r="17" spans="1:11">
      <c r="A17" s="30"/>
      <c r="B17" s="125" t="s">
        <v>29</v>
      </c>
      <c r="C17" s="125"/>
      <c r="D17" s="126"/>
      <c r="E17" s="125"/>
      <c r="F17" s="126"/>
      <c r="G17" s="125"/>
      <c r="I17" s="30"/>
      <c r="J17" s="124"/>
      <c r="K17" s="124"/>
    </row>
    <row r="18" spans="1:11">
      <c r="A18" s="30"/>
      <c r="B18" s="127" t="s">
        <v>121</v>
      </c>
      <c r="C18" s="127"/>
      <c r="D18" s="126"/>
      <c r="E18" s="127"/>
      <c r="F18" s="126"/>
      <c r="G18" s="127"/>
      <c r="I18" s="30"/>
      <c r="J18" s="124"/>
      <c r="K18" s="124"/>
    </row>
    <row r="19" spans="1:11">
      <c r="A19" s="30"/>
      <c r="B19" s="127" t="str">
        <f>"2. Green Diamond's plan year runs from "&amp;Asmpt!B13&amp;"."</f>
        <v>2. Green Diamond's plan year runs from 7/1/2023 through 6/30/2024.</v>
      </c>
      <c r="C19" s="127"/>
      <c r="D19" s="126"/>
      <c r="E19" s="127"/>
      <c r="F19" s="126"/>
      <c r="G19" s="127"/>
      <c r="I19" s="30"/>
      <c r="J19" s="124"/>
      <c r="K19" s="124"/>
    </row>
    <row r="20" spans="1:11">
      <c r="A20" s="30"/>
      <c r="B20" s="127" t="s">
        <v>164</v>
      </c>
      <c r="C20" s="127"/>
      <c r="D20" s="126"/>
      <c r="E20" s="127"/>
      <c r="F20" s="126"/>
      <c r="G20" s="127"/>
      <c r="I20" s="30"/>
      <c r="J20" s="124"/>
      <c r="K20" s="124"/>
    </row>
    <row r="21" spans="1:11">
      <c r="A21" s="30"/>
      <c r="B21" s="127"/>
      <c r="C21" s="127"/>
      <c r="D21" s="128"/>
      <c r="E21" s="127"/>
      <c r="F21" s="128"/>
      <c r="G21" s="127"/>
      <c r="I21" s="30"/>
      <c r="J21" s="124"/>
      <c r="K21" s="124"/>
    </row>
    <row r="22" spans="1:11">
      <c r="A22" s="30"/>
      <c r="B22" s="124"/>
      <c r="C22" s="124"/>
      <c r="D22" s="124"/>
      <c r="E22" s="124"/>
      <c r="F22" s="124"/>
      <c r="G22" s="124"/>
      <c r="I22" s="30"/>
      <c r="J22" s="124"/>
      <c r="K22" s="124"/>
    </row>
    <row r="23" spans="1:11">
      <c r="A23" s="30"/>
      <c r="B23" s="124"/>
      <c r="C23" s="124"/>
      <c r="D23" s="124"/>
      <c r="E23" s="124"/>
      <c r="F23" s="124"/>
      <c r="G23" s="124"/>
      <c r="I23" s="30"/>
      <c r="J23" s="124"/>
      <c r="K23" s="124"/>
    </row>
    <row r="24" spans="1:11">
      <c r="A24" s="30"/>
      <c r="B24" s="124"/>
      <c r="C24" s="124"/>
      <c r="D24" s="124"/>
      <c r="E24" s="124"/>
      <c r="F24" s="124"/>
      <c r="G24" s="124"/>
      <c r="I24" s="30"/>
      <c r="J24" s="124"/>
      <c r="K24" s="124"/>
    </row>
    <row r="25" spans="1:11">
      <c r="A25" s="30"/>
      <c r="B25" s="124"/>
      <c r="C25" s="124"/>
      <c r="D25" s="124"/>
      <c r="E25" s="124"/>
      <c r="F25" s="124"/>
      <c r="G25" s="124"/>
      <c r="I25" s="30"/>
      <c r="J25" s="124"/>
      <c r="K25" s="124"/>
    </row>
    <row r="26" spans="1:11">
      <c r="A26" s="30"/>
      <c r="B26" s="124"/>
      <c r="C26" s="124"/>
      <c r="D26" s="124"/>
      <c r="E26" s="124"/>
      <c r="F26" s="124"/>
      <c r="G26" s="124"/>
      <c r="I26" s="30"/>
      <c r="J26" s="124"/>
      <c r="K26" s="124"/>
    </row>
    <row r="27" spans="1:11">
      <c r="A27" s="30"/>
      <c r="B27" s="124"/>
      <c r="C27" s="124"/>
      <c r="D27" s="124"/>
      <c r="E27" s="124"/>
      <c r="F27" s="124"/>
      <c r="G27" s="124"/>
      <c r="I27" s="30"/>
      <c r="J27" s="124"/>
      <c r="K27" s="124"/>
    </row>
    <row r="28" spans="1:11">
      <c r="A28" s="30"/>
      <c r="B28" s="124"/>
      <c r="C28" s="124"/>
      <c r="D28" s="124"/>
      <c r="E28" s="124"/>
      <c r="F28" s="124"/>
      <c r="G28" s="124"/>
      <c r="I28" s="30"/>
      <c r="J28" s="124"/>
      <c r="K28" s="124"/>
    </row>
    <row r="29" spans="1:11">
      <c r="A29" s="30"/>
      <c r="B29" s="124"/>
      <c r="C29" s="124"/>
      <c r="D29" s="124"/>
      <c r="E29" s="124"/>
      <c r="F29" s="124"/>
      <c r="G29" s="124"/>
      <c r="I29" s="30"/>
      <c r="J29" s="124"/>
      <c r="K29" s="124"/>
    </row>
    <row r="30" spans="1:11">
      <c r="A30" s="30"/>
      <c r="B30" s="124"/>
      <c r="C30" s="124"/>
      <c r="D30" s="124"/>
      <c r="E30" s="124"/>
      <c r="F30" s="124"/>
      <c r="G30" s="124"/>
      <c r="I30" s="30"/>
      <c r="J30" s="124"/>
      <c r="K30" s="124"/>
    </row>
    <row r="31" spans="1:11">
      <c r="A31" s="30"/>
      <c r="B31" s="124"/>
      <c r="C31" s="124"/>
      <c r="D31" s="124"/>
      <c r="E31" s="124"/>
      <c r="F31" s="124"/>
      <c r="G31" s="124"/>
      <c r="I31" s="30"/>
      <c r="J31" s="124"/>
      <c r="K31" s="124"/>
    </row>
    <row r="32" spans="1:11">
      <c r="A32" s="30"/>
      <c r="B32" s="124"/>
      <c r="C32" s="124"/>
      <c r="D32" s="124"/>
      <c r="E32" s="124"/>
      <c r="F32" s="124"/>
      <c r="G32" s="124"/>
      <c r="I32" s="30"/>
      <c r="J32" s="124"/>
      <c r="K32" s="124"/>
    </row>
    <row r="33" spans="1:11">
      <c r="A33" s="30"/>
      <c r="B33" s="124"/>
      <c r="C33" s="124"/>
      <c r="D33" s="124"/>
      <c r="E33" s="124"/>
      <c r="F33" s="124"/>
      <c r="G33" s="124"/>
      <c r="I33" s="30"/>
      <c r="J33" s="124"/>
      <c r="K33" s="124"/>
    </row>
    <row r="34" spans="1:11">
      <c r="A34" s="30"/>
      <c r="B34" s="124"/>
      <c r="C34" s="124"/>
      <c r="D34" s="124"/>
      <c r="E34" s="124"/>
      <c r="F34" s="124"/>
      <c r="G34" s="124"/>
      <c r="I34" s="30"/>
      <c r="J34" s="124"/>
      <c r="K34" s="124"/>
    </row>
    <row r="35" spans="1:11">
      <c r="A35" s="30"/>
      <c r="B35" s="124"/>
      <c r="C35" s="124"/>
      <c r="D35" s="124"/>
      <c r="E35" s="124"/>
      <c r="F35" s="124"/>
      <c r="G35" s="124"/>
      <c r="I35" s="30"/>
      <c r="J35" s="124"/>
      <c r="K35" s="124"/>
    </row>
    <row r="36" spans="1:11">
      <c r="A36" s="30"/>
      <c r="B36" s="124"/>
      <c r="C36" s="124"/>
      <c r="D36" s="124"/>
      <c r="E36" s="124"/>
      <c r="F36" s="124"/>
      <c r="G36" s="124"/>
      <c r="I36" s="30"/>
      <c r="J36" s="124"/>
      <c r="K36" s="124"/>
    </row>
    <row r="37" spans="1:11">
      <c r="A37" s="30"/>
      <c r="B37" s="124"/>
      <c r="C37" s="124"/>
      <c r="D37" s="124"/>
      <c r="E37" s="124"/>
      <c r="F37" s="124"/>
      <c r="G37" s="124"/>
      <c r="I37" s="30"/>
      <c r="J37" s="124"/>
      <c r="K37" s="124"/>
    </row>
    <row r="38" spans="1:11">
      <c r="A38" s="30"/>
      <c r="B38" s="124"/>
      <c r="C38" s="124"/>
      <c r="D38" s="124"/>
      <c r="E38" s="124"/>
      <c r="F38" s="124"/>
      <c r="G38" s="124"/>
      <c r="I38" s="30"/>
      <c r="J38" s="124"/>
      <c r="K38" s="124"/>
    </row>
    <row r="39" spans="1:11">
      <c r="A39" s="30"/>
      <c r="B39" s="124"/>
      <c r="C39" s="124"/>
      <c r="D39" s="124"/>
      <c r="E39" s="124"/>
      <c r="F39" s="124"/>
      <c r="G39" s="124"/>
      <c r="I39" s="30"/>
      <c r="J39" s="124"/>
      <c r="K39" s="124"/>
    </row>
    <row r="40" spans="1:11">
      <c r="A40" s="30"/>
      <c r="B40" s="124"/>
      <c r="C40" s="124"/>
      <c r="D40" s="124"/>
      <c r="E40" s="124"/>
      <c r="F40" s="124"/>
      <c r="G40" s="124"/>
      <c r="I40" s="30"/>
      <c r="J40" s="124"/>
      <c r="K40" s="124"/>
    </row>
    <row r="41" spans="1:11">
      <c r="A41" s="30"/>
      <c r="B41" s="124"/>
      <c r="C41" s="124"/>
      <c r="D41" s="124"/>
      <c r="E41" s="124"/>
      <c r="F41" s="124"/>
      <c r="G41" s="124"/>
      <c r="I41" s="30"/>
      <c r="J41" s="124"/>
      <c r="K41" s="124"/>
    </row>
    <row r="42" spans="1:11">
      <c r="A42" s="30"/>
      <c r="B42" s="124"/>
      <c r="C42" s="124"/>
      <c r="D42" s="124"/>
      <c r="E42" s="124"/>
      <c r="F42" s="124"/>
      <c r="G42" s="124"/>
      <c r="I42" s="30"/>
      <c r="J42" s="124"/>
      <c r="K42" s="124"/>
    </row>
    <row r="43" spans="1:11">
      <c r="A43" s="30"/>
      <c r="B43" s="124"/>
      <c r="C43" s="124"/>
      <c r="D43" s="124"/>
      <c r="E43" s="124"/>
      <c r="F43" s="124"/>
      <c r="G43" s="124"/>
      <c r="I43" s="30"/>
      <c r="J43" s="124"/>
      <c r="K43" s="124"/>
    </row>
    <row r="44" spans="1:11">
      <c r="A44" s="30"/>
      <c r="B44" s="124"/>
      <c r="C44" s="124"/>
      <c r="D44" s="124"/>
      <c r="E44" s="124"/>
      <c r="F44" s="124"/>
      <c r="G44" s="124"/>
      <c r="I44" s="30"/>
      <c r="J44" s="124"/>
      <c r="K44" s="124"/>
    </row>
    <row r="45" spans="1:11">
      <c r="A45" s="30"/>
      <c r="B45" s="124"/>
      <c r="C45" s="124"/>
      <c r="D45" s="124"/>
      <c r="E45" s="124"/>
      <c r="F45" s="124"/>
      <c r="G45" s="124"/>
      <c r="I45" s="30"/>
      <c r="J45" s="124"/>
      <c r="K45" s="124"/>
    </row>
    <row r="46" spans="1:11">
      <c r="A46" s="30"/>
      <c r="B46" s="124"/>
      <c r="C46" s="124"/>
      <c r="D46" s="124"/>
      <c r="E46" s="124"/>
      <c r="F46" s="124"/>
      <c r="G46" s="124"/>
      <c r="I46" s="30"/>
      <c r="J46" s="124"/>
      <c r="K46" s="124"/>
    </row>
    <row r="47" spans="1:11">
      <c r="A47" s="30"/>
      <c r="B47" s="124"/>
      <c r="C47" s="124"/>
      <c r="D47" s="124"/>
      <c r="E47" s="124"/>
      <c r="F47" s="124"/>
      <c r="G47" s="124"/>
      <c r="I47" s="30"/>
      <c r="J47" s="124"/>
      <c r="K47" s="124"/>
    </row>
  </sheetData>
  <sheetProtection algorithmName="SHA-512" hashValue="qehSuFnQuFFDDiYDBvkqndT5ca6wj/crHBh4ZLUIG+WkKNKzKkyhIjYEhcL8bjpnwLnvs4GeJfCShYkeeNpYtw==" saltValue="CComg40cHoVfWf9LWCYiKA=="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63"/>
  <sheetViews>
    <sheetView showGridLines="0" workbookViewId="0">
      <selection activeCell="R22" sqref="R22"/>
    </sheetView>
  </sheetViews>
  <sheetFormatPr defaultColWidth="9.140625" defaultRowHeight="15"/>
  <cols>
    <col min="1" max="1" width="41" style="259" customWidth="1"/>
    <col min="2" max="3" width="24.7109375" style="260" customWidth="1"/>
    <col min="4" max="4" width="22.7109375" style="262" customWidth="1"/>
    <col min="5" max="16384" width="9.140625" style="262"/>
  </cols>
  <sheetData>
    <row r="1" spans="1:7" s="187" customFormat="1" ht="18.75">
      <c r="A1" s="257" t="s">
        <v>160</v>
      </c>
      <c r="B1" s="258" t="s">
        <v>117</v>
      </c>
      <c r="C1" s="258"/>
      <c r="D1" s="186" t="s">
        <v>117</v>
      </c>
    </row>
    <row r="2" spans="1:7" s="261" customFormat="1">
      <c r="A2" s="259" t="s">
        <v>250</v>
      </c>
      <c r="B2" s="260"/>
      <c r="C2" s="260"/>
      <c r="D2" s="28"/>
    </row>
    <row r="3" spans="1:7" s="261" customFormat="1">
      <c r="A3" s="198"/>
      <c r="B3" s="260"/>
      <c r="C3" s="260"/>
      <c r="D3" s="28"/>
    </row>
    <row r="4" spans="1:7">
      <c r="A4" s="263"/>
      <c r="B4" s="264" t="s">
        <v>32</v>
      </c>
      <c r="C4" s="264" t="s">
        <v>162</v>
      </c>
      <c r="D4" s="28"/>
      <c r="G4" s="198"/>
    </row>
    <row r="5" spans="1:7">
      <c r="A5" s="252" t="s">
        <v>172</v>
      </c>
      <c r="B5" s="265"/>
      <c r="C5" s="253"/>
      <c r="D5" s="28"/>
      <c r="E5" s="28"/>
    </row>
    <row r="6" spans="1:7">
      <c r="A6" s="251" t="s">
        <v>173</v>
      </c>
      <c r="B6" s="255" t="s">
        <v>153</v>
      </c>
      <c r="C6" s="255" t="s">
        <v>174</v>
      </c>
      <c r="D6" s="28"/>
      <c r="E6" s="28"/>
    </row>
    <row r="7" spans="1:7">
      <c r="A7" s="251" t="s">
        <v>175</v>
      </c>
      <c r="B7" s="255" t="s">
        <v>153</v>
      </c>
      <c r="C7" s="255">
        <v>1150</v>
      </c>
      <c r="D7" s="28"/>
      <c r="E7" s="28"/>
    </row>
    <row r="8" spans="1:7">
      <c r="A8" s="251" t="s">
        <v>176</v>
      </c>
      <c r="B8" s="255" t="s">
        <v>153</v>
      </c>
      <c r="C8" s="255">
        <v>1725</v>
      </c>
      <c r="D8" s="28"/>
      <c r="E8" s="28"/>
    </row>
    <row r="9" spans="1:7">
      <c r="A9" s="251" t="s">
        <v>177</v>
      </c>
      <c r="B9" s="255" t="s">
        <v>153</v>
      </c>
      <c r="C9" s="256">
        <f>ROUND(C7/24,2)</f>
        <v>47.92</v>
      </c>
      <c r="D9" s="28"/>
      <c r="E9" s="28"/>
    </row>
    <row r="10" spans="1:7">
      <c r="A10" s="251" t="s">
        <v>178</v>
      </c>
      <c r="B10" s="255" t="s">
        <v>153</v>
      </c>
      <c r="C10" s="256">
        <f>ROUND(C8/24,2)</f>
        <v>71.88</v>
      </c>
      <c r="D10" s="28"/>
      <c r="E10" s="28"/>
    </row>
    <row r="11" spans="1:7">
      <c r="A11" s="252" t="s">
        <v>167</v>
      </c>
      <c r="B11" s="265"/>
      <c r="C11" s="253"/>
      <c r="D11" s="28"/>
      <c r="E11" s="28"/>
    </row>
    <row r="12" spans="1:7">
      <c r="A12" s="251" t="s">
        <v>168</v>
      </c>
      <c r="B12" s="254" t="s">
        <v>229</v>
      </c>
      <c r="C12" s="254" t="s">
        <v>251</v>
      </c>
      <c r="D12" s="28"/>
      <c r="E12" s="28"/>
    </row>
    <row r="13" spans="1:7">
      <c r="A13" s="251" t="s">
        <v>169</v>
      </c>
      <c r="B13" s="254" t="s">
        <v>192</v>
      </c>
      <c r="C13" s="254" t="s">
        <v>252</v>
      </c>
      <c r="D13" s="28"/>
      <c r="E13" s="28"/>
    </row>
    <row r="14" spans="1:7">
      <c r="A14" s="251" t="s">
        <v>225</v>
      </c>
      <c r="B14" s="254" t="s">
        <v>230</v>
      </c>
      <c r="C14" s="254" t="s">
        <v>170</v>
      </c>
      <c r="D14" s="28"/>
      <c r="E14" s="28"/>
    </row>
    <row r="15" spans="1:7">
      <c r="A15" s="251" t="s">
        <v>226</v>
      </c>
      <c r="B15" s="254" t="s">
        <v>231</v>
      </c>
      <c r="C15" s="254" t="s">
        <v>171</v>
      </c>
      <c r="D15" s="28"/>
      <c r="E15" s="28"/>
    </row>
    <row r="16" spans="1:7">
      <c r="A16" s="252" t="s">
        <v>258</v>
      </c>
      <c r="B16" s="265"/>
      <c r="C16" s="253"/>
      <c r="D16" s="28"/>
      <c r="E16" s="28"/>
    </row>
    <row r="17" spans="1:5">
      <c r="A17" s="251" t="s">
        <v>154</v>
      </c>
      <c r="B17" s="254" t="s">
        <v>155</v>
      </c>
      <c r="C17" s="254" t="s">
        <v>155</v>
      </c>
      <c r="D17" s="28"/>
      <c r="E17" s="28"/>
    </row>
    <row r="18" spans="1:5">
      <c r="A18" s="251" t="s">
        <v>179</v>
      </c>
      <c r="B18" s="254" t="s">
        <v>232</v>
      </c>
      <c r="C18" s="254" t="s">
        <v>253</v>
      </c>
      <c r="D18" s="28"/>
      <c r="E18" s="28"/>
    </row>
    <row r="19" spans="1:5">
      <c r="A19" s="251" t="s">
        <v>180</v>
      </c>
      <c r="B19" s="254" t="s">
        <v>233</v>
      </c>
      <c r="C19" s="254" t="s">
        <v>253</v>
      </c>
      <c r="D19" s="28"/>
      <c r="E19" s="28"/>
    </row>
    <row r="20" spans="1:5">
      <c r="A20" s="251" t="s">
        <v>254</v>
      </c>
      <c r="B20" s="254" t="s">
        <v>255</v>
      </c>
      <c r="C20" s="254" t="s">
        <v>253</v>
      </c>
      <c r="D20" s="28"/>
      <c r="E20" s="28"/>
    </row>
    <row r="21" spans="1:5" s="188" customFormat="1">
      <c r="A21" s="251" t="s">
        <v>256</v>
      </c>
      <c r="B21" s="254" t="s">
        <v>253</v>
      </c>
      <c r="C21" s="254" t="s">
        <v>253</v>
      </c>
      <c r="D21" s="28"/>
      <c r="E21" s="28"/>
    </row>
    <row r="22" spans="1:5" s="189" customFormat="1">
      <c r="A22" s="251" t="s">
        <v>156</v>
      </c>
      <c r="B22" s="254" t="s">
        <v>253</v>
      </c>
      <c r="C22" s="254" t="s">
        <v>253</v>
      </c>
      <c r="D22" s="28"/>
      <c r="E22" s="28"/>
    </row>
    <row r="23" spans="1:5" s="184" customFormat="1">
      <c r="A23" s="251" t="s">
        <v>157</v>
      </c>
      <c r="B23" s="254" t="s">
        <v>253</v>
      </c>
      <c r="C23" s="254" t="s">
        <v>253</v>
      </c>
      <c r="D23" s="28"/>
      <c r="E23" s="28"/>
    </row>
    <row r="24" spans="1:5" s="184" customFormat="1">
      <c r="A24" s="251" t="s">
        <v>158</v>
      </c>
      <c r="B24" s="254" t="s">
        <v>253</v>
      </c>
      <c r="C24" s="254" t="s">
        <v>253</v>
      </c>
      <c r="D24" s="28"/>
      <c r="E24" s="28"/>
    </row>
    <row r="25" spans="1:5" s="184" customFormat="1">
      <c r="A25" s="252" t="s">
        <v>221</v>
      </c>
      <c r="B25" s="265"/>
      <c r="C25" s="253"/>
      <c r="D25" s="28"/>
      <c r="E25" s="28"/>
    </row>
    <row r="26" spans="1:5" s="184" customFormat="1">
      <c r="A26" s="251" t="s">
        <v>222</v>
      </c>
      <c r="B26" s="254" t="s">
        <v>155</v>
      </c>
      <c r="C26" s="254" t="s">
        <v>47</v>
      </c>
      <c r="D26" s="28"/>
      <c r="E26" s="28"/>
    </row>
    <row r="27" spans="1:5" s="184" customFormat="1">
      <c r="A27" s="252" t="s">
        <v>159</v>
      </c>
      <c r="B27" s="265"/>
      <c r="C27" s="253"/>
      <c r="D27" s="28"/>
      <c r="E27" s="28"/>
    </row>
    <row r="28" spans="1:5" s="184" customFormat="1">
      <c r="A28" s="251" t="s">
        <v>168</v>
      </c>
      <c r="B28" s="254" t="s">
        <v>234</v>
      </c>
      <c r="C28" s="254" t="s">
        <v>252</v>
      </c>
      <c r="D28" s="28"/>
      <c r="E28" s="28"/>
    </row>
    <row r="29" spans="1:5" s="184" customFormat="1">
      <c r="A29" s="251" t="s">
        <v>169</v>
      </c>
      <c r="B29" s="254" t="s">
        <v>230</v>
      </c>
      <c r="C29" s="254" t="s">
        <v>257</v>
      </c>
      <c r="D29" s="28"/>
      <c r="E29" s="28"/>
    </row>
    <row r="30" spans="1:5" s="184" customFormat="1">
      <c r="A30" s="251" t="s">
        <v>193</v>
      </c>
      <c r="B30" s="254" t="s">
        <v>194</v>
      </c>
      <c r="C30" s="254" t="s">
        <v>194</v>
      </c>
      <c r="D30" s="28"/>
      <c r="E30" s="28"/>
    </row>
    <row r="31" spans="1:5" s="184" customFormat="1">
      <c r="A31" s="251" t="s">
        <v>225</v>
      </c>
      <c r="B31" s="254" t="s">
        <v>231</v>
      </c>
      <c r="C31" s="254" t="s">
        <v>171</v>
      </c>
      <c r="D31" s="28"/>
      <c r="E31" s="28"/>
    </row>
    <row r="32" spans="1:5" s="184" customFormat="1">
      <c r="A32" s="251" t="s">
        <v>226</v>
      </c>
      <c r="B32" s="254" t="s">
        <v>235</v>
      </c>
      <c r="C32" s="254" t="s">
        <v>195</v>
      </c>
      <c r="D32" s="28"/>
      <c r="E32" s="28"/>
    </row>
    <row r="33" spans="1:5" s="184" customFormat="1">
      <c r="A33" s="252" t="s">
        <v>259</v>
      </c>
      <c r="B33" s="265"/>
      <c r="C33" s="253"/>
      <c r="D33" s="28"/>
      <c r="E33" s="28"/>
    </row>
    <row r="34" spans="1:5" s="184" customFormat="1">
      <c r="A34" s="251" t="s">
        <v>181</v>
      </c>
      <c r="B34" s="254" t="s">
        <v>182</v>
      </c>
      <c r="C34" s="254" t="s">
        <v>253</v>
      </c>
      <c r="D34" s="28"/>
      <c r="E34" s="28"/>
    </row>
    <row r="35" spans="1:5" s="184" customFormat="1">
      <c r="A35" s="251" t="s">
        <v>183</v>
      </c>
      <c r="B35" s="254" t="s">
        <v>184</v>
      </c>
      <c r="C35" s="254" t="s">
        <v>253</v>
      </c>
      <c r="D35" s="28"/>
      <c r="E35" s="28"/>
    </row>
    <row r="36" spans="1:5" s="184" customFormat="1">
      <c r="A36" s="251" t="s">
        <v>185</v>
      </c>
      <c r="B36" s="254" t="s">
        <v>186</v>
      </c>
      <c r="C36" s="254" t="s">
        <v>253</v>
      </c>
      <c r="D36" s="28"/>
      <c r="E36" s="28"/>
    </row>
    <row r="37" spans="1:5" s="184" customFormat="1">
      <c r="A37" s="252" t="s">
        <v>227</v>
      </c>
      <c r="B37" s="265"/>
      <c r="C37" s="253"/>
      <c r="E37" s="28"/>
    </row>
    <row r="38" spans="1:5" s="184" customFormat="1">
      <c r="A38" s="251" t="s">
        <v>181</v>
      </c>
      <c r="B38" s="254" t="s">
        <v>187</v>
      </c>
      <c r="C38" s="254" t="s">
        <v>253</v>
      </c>
      <c r="E38" s="28"/>
    </row>
    <row r="39" spans="1:5" s="184" customFormat="1">
      <c r="A39" s="251" t="s">
        <v>183</v>
      </c>
      <c r="B39" s="254" t="s">
        <v>188</v>
      </c>
      <c r="C39" s="254" t="s">
        <v>253</v>
      </c>
      <c r="E39" s="28"/>
    </row>
    <row r="40" spans="1:5" s="184" customFormat="1">
      <c r="A40" s="251" t="s">
        <v>185</v>
      </c>
      <c r="B40" s="254" t="s">
        <v>186</v>
      </c>
      <c r="C40" s="254" t="s">
        <v>253</v>
      </c>
      <c r="E40" s="28"/>
    </row>
    <row r="41" spans="1:5" s="184" customFormat="1">
      <c r="A41" s="252" t="s">
        <v>228</v>
      </c>
      <c r="B41" s="265"/>
      <c r="C41" s="253"/>
      <c r="E41" s="28"/>
    </row>
    <row r="42" spans="1:5" s="184" customFormat="1">
      <c r="A42" s="251" t="s">
        <v>189</v>
      </c>
      <c r="B42" s="254" t="s">
        <v>190</v>
      </c>
      <c r="C42" s="254" t="s">
        <v>253</v>
      </c>
      <c r="E42" s="28"/>
    </row>
    <row r="43" spans="1:5" s="184" customFormat="1">
      <c r="A43" s="251" t="s">
        <v>191</v>
      </c>
      <c r="B43" s="254" t="s">
        <v>186</v>
      </c>
      <c r="C43" s="254" t="s">
        <v>253</v>
      </c>
      <c r="E43" s="28"/>
    </row>
    <row r="44" spans="1:5" s="184" customFormat="1">
      <c r="A44" s="259"/>
      <c r="B44" s="260"/>
      <c r="C44" s="260"/>
      <c r="E44" s="28"/>
    </row>
    <row r="45" spans="1:5" s="184" customFormat="1">
      <c r="A45" s="266" t="s">
        <v>265</v>
      </c>
      <c r="B45" s="260"/>
      <c r="C45" s="260"/>
      <c r="E45" s="28"/>
    </row>
    <row r="46" spans="1:5" s="184" customFormat="1">
      <c r="A46" s="259"/>
      <c r="B46" s="260"/>
      <c r="C46" s="260"/>
      <c r="E46" s="28"/>
    </row>
    <row r="47" spans="1:5" s="184" customFormat="1">
      <c r="A47" s="259"/>
      <c r="B47" s="260"/>
      <c r="C47" s="260"/>
      <c r="E47" s="28"/>
    </row>
    <row r="48" spans="1:5" s="184" customFormat="1">
      <c r="A48" s="259"/>
      <c r="B48" s="260"/>
      <c r="C48" s="260"/>
      <c r="E48" s="28"/>
    </row>
    <row r="49" spans="1:5" s="184" customFormat="1">
      <c r="A49" s="259"/>
      <c r="B49" s="260"/>
      <c r="C49" s="260"/>
      <c r="E49" s="28"/>
    </row>
    <row r="50" spans="1:5" s="184" customFormat="1">
      <c r="A50" s="259"/>
      <c r="B50" s="260"/>
      <c r="C50" s="260"/>
      <c r="E50" s="28"/>
    </row>
    <row r="51" spans="1:5" s="184" customFormat="1">
      <c r="A51" s="259"/>
      <c r="B51" s="260"/>
      <c r="C51" s="260"/>
      <c r="E51" s="28"/>
    </row>
    <row r="52" spans="1:5" s="184" customFormat="1">
      <c r="A52" s="259"/>
      <c r="B52" s="260"/>
      <c r="C52" s="260"/>
      <c r="E52" s="28"/>
    </row>
    <row r="53" spans="1:5" s="184" customFormat="1">
      <c r="A53" s="259"/>
      <c r="B53" s="260"/>
      <c r="C53" s="260"/>
      <c r="E53" s="28"/>
    </row>
    <row r="54" spans="1:5" s="184" customFormat="1">
      <c r="A54" s="259"/>
      <c r="B54" s="260"/>
      <c r="C54" s="260"/>
      <c r="E54" s="28"/>
    </row>
    <row r="55" spans="1:5" s="184" customFormat="1">
      <c r="A55" s="259"/>
      <c r="B55" s="260"/>
      <c r="C55" s="260"/>
    </row>
    <row r="56" spans="1:5" s="184" customFormat="1">
      <c r="A56" s="259"/>
      <c r="B56" s="260"/>
      <c r="C56" s="260"/>
    </row>
    <row r="57" spans="1:5" s="184" customFormat="1">
      <c r="A57" s="259"/>
      <c r="B57" s="260"/>
      <c r="C57" s="260"/>
    </row>
    <row r="58" spans="1:5" s="184" customFormat="1">
      <c r="A58" s="259"/>
      <c r="B58" s="260"/>
      <c r="C58" s="260"/>
    </row>
    <row r="59" spans="1:5" s="184" customFormat="1">
      <c r="A59" s="259"/>
      <c r="B59" s="260"/>
      <c r="C59" s="260"/>
    </row>
    <row r="60" spans="1:5" s="184" customFormat="1">
      <c r="A60" s="259"/>
      <c r="B60" s="260"/>
      <c r="C60" s="260"/>
    </row>
    <row r="61" spans="1:5" s="184" customFormat="1">
      <c r="A61" s="259"/>
      <c r="B61" s="260"/>
      <c r="C61" s="260"/>
    </row>
    <row r="62" spans="1:5" s="184" customFormat="1">
      <c r="A62" s="259"/>
      <c r="B62" s="260"/>
      <c r="C62" s="260"/>
    </row>
    <row r="63" spans="1:5" s="184" customFormat="1">
      <c r="A63" s="259"/>
      <c r="B63" s="260"/>
      <c r="C63" s="260"/>
    </row>
  </sheetData>
  <sheetProtection algorithmName="SHA-512" hashValue="u60+QtwoBLclSgoHn708I1hNwO9rcqeHIzJbs8LzT45aM5+sOJhUo2eZBNV4FP8AoKWi3b1cTJGqA4Z3vfCFSQ==" saltValue="nvfefWcClCbD47IfV9uoOQ=="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10"/>
  <sheetViews>
    <sheetView topLeftCell="A151" zoomScaleNormal="100" zoomScaleSheetLayoutView="100" workbookViewId="0">
      <selection activeCell="B199" sqref="B199"/>
    </sheetView>
  </sheetViews>
  <sheetFormatPr defaultColWidth="9.140625" defaultRowHeight="12.75"/>
  <cols>
    <col min="1" max="1" width="46.7109375" style="28" customWidth="1"/>
    <col min="2" max="4" width="26.5703125" style="28" customWidth="1"/>
    <col min="5" max="7" width="9.140625" style="28"/>
    <col min="8" max="8" width="27.42578125" style="28" bestFit="1" customWidth="1"/>
    <col min="9" max="9" width="23.7109375" style="28" bestFit="1" customWidth="1"/>
    <col min="10" max="10" width="28.7109375" style="28" bestFit="1" customWidth="1"/>
    <col min="11" max="29" width="9.140625" style="28"/>
    <col min="30" max="30" width="25.7109375" style="28" bestFit="1" customWidth="1"/>
    <col min="31" max="31" width="15" style="28" bestFit="1" customWidth="1"/>
    <col min="32" max="16384" width="9.140625" style="28"/>
  </cols>
  <sheetData>
    <row r="2" spans="1:27">
      <c r="A2" s="35" t="s">
        <v>35</v>
      </c>
      <c r="B2" s="36"/>
      <c r="C2" s="36"/>
      <c r="D2" s="36"/>
      <c r="E2" s="35" t="s">
        <v>71</v>
      </c>
      <c r="F2" s="36"/>
      <c r="G2" s="36"/>
      <c r="H2" s="36"/>
      <c r="I2" s="36"/>
      <c r="J2" s="36"/>
      <c r="K2" s="36"/>
      <c r="L2" s="36"/>
      <c r="M2" s="36"/>
      <c r="N2" s="36"/>
      <c r="O2" s="36"/>
      <c r="P2" s="36"/>
    </row>
    <row r="3" spans="1:27">
      <c r="A3" s="36"/>
      <c r="B3" s="36"/>
      <c r="C3" s="36"/>
      <c r="D3" s="36"/>
      <c r="E3" s="36"/>
      <c r="F3" s="36"/>
      <c r="G3" s="36"/>
      <c r="H3" s="36"/>
      <c r="I3" s="36"/>
      <c r="J3" s="36"/>
      <c r="K3" s="36"/>
      <c r="L3" s="36"/>
      <c r="M3" s="36"/>
      <c r="N3" s="36"/>
      <c r="O3" s="36"/>
      <c r="P3" s="36"/>
      <c r="AA3" s="36" t="s">
        <v>36</v>
      </c>
    </row>
    <row r="4" spans="1:27">
      <c r="A4" s="37" t="s">
        <v>37</v>
      </c>
      <c r="B4" s="36"/>
      <c r="C4" s="36"/>
      <c r="D4" s="36"/>
      <c r="E4" s="36"/>
      <c r="F4" s="36"/>
      <c r="G4" s="36"/>
      <c r="H4" s="36"/>
      <c r="I4" s="36"/>
      <c r="J4" s="36"/>
      <c r="K4" s="36"/>
      <c r="L4" s="36"/>
      <c r="M4" s="36"/>
      <c r="N4" s="36"/>
      <c r="O4" s="36"/>
      <c r="P4" s="36"/>
      <c r="AA4" s="36"/>
    </row>
    <row r="5" spans="1:27">
      <c r="A5" s="39" t="s">
        <v>142</v>
      </c>
      <c r="B5" s="38" t="s">
        <v>160</v>
      </c>
      <c r="C5" s="36"/>
      <c r="D5" s="36"/>
      <c r="E5" s="36"/>
      <c r="F5" s="36"/>
      <c r="G5" s="36"/>
      <c r="H5" s="36"/>
      <c r="I5" s="36"/>
      <c r="J5" s="36"/>
      <c r="K5" s="36"/>
      <c r="L5" s="36"/>
      <c r="M5" s="36"/>
      <c r="N5" s="36"/>
      <c r="O5" s="36"/>
      <c r="P5" s="36"/>
      <c r="AA5" s="36"/>
    </row>
    <row r="6" spans="1:27">
      <c r="A6" s="39" t="s">
        <v>143</v>
      </c>
      <c r="B6" s="38" t="s">
        <v>161</v>
      </c>
      <c r="C6" s="36"/>
      <c r="D6" s="36"/>
      <c r="E6" s="36"/>
      <c r="F6" s="36"/>
      <c r="G6" s="36"/>
      <c r="H6" s="36"/>
      <c r="I6" s="36"/>
      <c r="J6" s="36"/>
      <c r="K6" s="36"/>
      <c r="L6" s="36"/>
      <c r="M6" s="36"/>
      <c r="N6" s="36"/>
      <c r="O6" s="36"/>
      <c r="P6" s="36"/>
      <c r="AA6" s="36" t="s">
        <v>38</v>
      </c>
    </row>
    <row r="7" spans="1:27">
      <c r="A7" s="36"/>
      <c r="B7" s="36"/>
      <c r="C7" s="36"/>
      <c r="D7" s="36"/>
      <c r="E7" s="36"/>
      <c r="F7" s="36"/>
      <c r="G7" s="36"/>
      <c r="H7" s="36"/>
      <c r="I7" s="36"/>
      <c r="J7" s="36"/>
      <c r="K7" s="36"/>
      <c r="L7" s="36"/>
      <c r="M7" s="36"/>
      <c r="N7" s="36"/>
      <c r="O7" s="36"/>
      <c r="P7" s="36"/>
      <c r="AA7" s="36"/>
    </row>
    <row r="8" spans="1:27">
      <c r="A8" s="36"/>
      <c r="B8" s="36"/>
      <c r="C8" s="36"/>
      <c r="D8" s="36"/>
      <c r="E8" s="36"/>
      <c r="F8" s="36"/>
      <c r="G8" s="36"/>
      <c r="H8" s="36"/>
      <c r="I8" s="36"/>
      <c r="J8" s="36"/>
      <c r="K8" s="36"/>
      <c r="L8" s="36"/>
      <c r="M8" s="36"/>
      <c r="N8" s="36"/>
      <c r="O8" s="36"/>
      <c r="P8" s="36"/>
      <c r="AA8" s="36"/>
    </row>
    <row r="9" spans="1:27">
      <c r="A9" s="37" t="s">
        <v>128</v>
      </c>
      <c r="B9" s="36"/>
      <c r="C9" s="36"/>
      <c r="D9" s="36"/>
      <c r="E9" s="36"/>
      <c r="F9" s="36"/>
      <c r="G9" s="36"/>
      <c r="H9" s="36"/>
      <c r="I9" s="36"/>
      <c r="J9" s="36"/>
      <c r="K9" s="36"/>
      <c r="L9" s="36"/>
      <c r="M9" s="36"/>
      <c r="N9" s="36"/>
      <c r="O9" s="36"/>
      <c r="P9" s="36"/>
      <c r="AA9" s="36"/>
    </row>
    <row r="10" spans="1:27">
      <c r="A10" s="39" t="s">
        <v>127</v>
      </c>
      <c r="B10" s="53" t="s">
        <v>237</v>
      </c>
      <c r="C10" s="36"/>
      <c r="D10" s="36"/>
      <c r="E10" s="36" t="s">
        <v>129</v>
      </c>
      <c r="F10" s="36"/>
      <c r="G10" s="36"/>
      <c r="H10" s="36"/>
      <c r="I10" s="36"/>
      <c r="J10" s="36"/>
      <c r="K10" s="36"/>
      <c r="L10" s="36"/>
      <c r="M10" s="36"/>
      <c r="N10" s="36"/>
      <c r="O10" s="36"/>
      <c r="P10" s="36"/>
      <c r="AA10" s="36"/>
    </row>
    <row r="11" spans="1:27">
      <c r="A11" s="39" t="s">
        <v>130</v>
      </c>
      <c r="B11" s="151">
        <v>43646</v>
      </c>
      <c r="C11" s="36"/>
      <c r="D11" s="36"/>
      <c r="E11" s="36"/>
      <c r="F11" s="36"/>
      <c r="G11" s="36"/>
      <c r="H11" s="36"/>
      <c r="I11" s="36"/>
      <c r="J11" s="36"/>
      <c r="K11" s="36"/>
      <c r="L11" s="36"/>
      <c r="M11" s="36"/>
      <c r="N11" s="36"/>
      <c r="O11" s="36"/>
      <c r="P11" s="36"/>
      <c r="AA11" s="36"/>
    </row>
    <row r="12" spans="1:27">
      <c r="A12" s="39" t="s">
        <v>131</v>
      </c>
      <c r="B12" s="151">
        <v>44011</v>
      </c>
      <c r="C12" s="36"/>
      <c r="D12" s="36"/>
      <c r="E12" s="36"/>
      <c r="F12" s="36"/>
      <c r="G12" s="36"/>
      <c r="H12" s="36"/>
      <c r="I12" s="36"/>
      <c r="J12" s="36"/>
      <c r="K12" s="36"/>
      <c r="L12" s="36"/>
      <c r="M12" s="36"/>
      <c r="N12" s="36"/>
      <c r="O12" s="36"/>
      <c r="P12" s="36"/>
      <c r="AA12" s="36"/>
    </row>
    <row r="13" spans="1:27">
      <c r="A13" s="39" t="s">
        <v>144</v>
      </c>
      <c r="B13" s="151" t="str">
        <f>TEXT(PY_Start,"m/d/yyyy")&amp;" through "&amp;TEXT(PY_End,"m/d/yyyy")</f>
        <v>7/1/2023 through 6/30/2024</v>
      </c>
      <c r="C13" s="36"/>
      <c r="D13" s="36"/>
      <c r="E13" s="36"/>
      <c r="F13" s="36"/>
      <c r="G13" s="36"/>
      <c r="H13" s="36"/>
      <c r="I13" s="36"/>
      <c r="J13" s="36"/>
      <c r="K13" s="36"/>
      <c r="L13" s="36"/>
      <c r="M13" s="36"/>
      <c r="N13" s="36"/>
      <c r="O13" s="36"/>
      <c r="P13" s="36"/>
      <c r="AA13" s="36"/>
    </row>
    <row r="14" spans="1:27">
      <c r="A14" s="36"/>
      <c r="B14" s="36"/>
      <c r="C14" s="36"/>
      <c r="D14" s="36"/>
      <c r="E14" s="36"/>
      <c r="F14" s="36"/>
      <c r="G14" s="36"/>
      <c r="H14" s="36"/>
      <c r="I14" s="36"/>
      <c r="J14" s="36"/>
      <c r="K14" s="36"/>
      <c r="L14" s="36"/>
      <c r="M14" s="36"/>
      <c r="N14" s="36"/>
      <c r="O14" s="36"/>
      <c r="P14" s="36"/>
      <c r="AA14" s="36"/>
    </row>
    <row r="15" spans="1:27">
      <c r="A15" s="37" t="s">
        <v>133</v>
      </c>
      <c r="B15" s="38" t="s">
        <v>134</v>
      </c>
      <c r="C15" s="36"/>
      <c r="D15" s="36"/>
      <c r="E15" s="36"/>
      <c r="F15" s="36"/>
      <c r="G15" s="36"/>
      <c r="H15" s="36"/>
      <c r="I15" s="36"/>
      <c r="J15" s="36"/>
      <c r="K15" s="36"/>
      <c r="L15" s="36"/>
      <c r="M15" s="36"/>
      <c r="N15" s="36"/>
      <c r="O15" s="36"/>
      <c r="P15" s="36"/>
      <c r="AA15" s="36"/>
    </row>
    <row r="16" spans="1:27" ht="13.5" thickBot="1">
      <c r="A16" s="36"/>
      <c r="B16" s="36"/>
      <c r="C16" s="36"/>
      <c r="D16" s="36"/>
      <c r="E16" s="36"/>
      <c r="F16" s="36"/>
      <c r="G16" s="36"/>
      <c r="H16" s="36"/>
      <c r="I16" s="36"/>
      <c r="J16" s="36"/>
      <c r="K16" s="36"/>
      <c r="L16" s="36"/>
      <c r="M16" s="36"/>
      <c r="N16" s="36"/>
      <c r="O16" s="36"/>
      <c r="P16" s="36"/>
      <c r="AA16" s="36"/>
    </row>
    <row r="17" spans="1:16">
      <c r="A17" s="37" t="s">
        <v>39</v>
      </c>
      <c r="B17" s="37" t="s">
        <v>114</v>
      </c>
      <c r="C17" s="37" t="s">
        <v>138</v>
      </c>
      <c r="D17" s="213" t="s">
        <v>223</v>
      </c>
      <c r="E17" s="36"/>
    </row>
    <row r="18" spans="1:16">
      <c r="A18" s="39" t="s">
        <v>40</v>
      </c>
      <c r="B18" s="197">
        <v>245</v>
      </c>
      <c r="C18" s="176"/>
      <c r="D18" s="214">
        <v>230</v>
      </c>
      <c r="E18" s="36"/>
      <c r="H18" s="178"/>
    </row>
    <row r="19" spans="1:16">
      <c r="A19" s="39" t="s">
        <v>106</v>
      </c>
      <c r="B19" s="197">
        <v>215</v>
      </c>
      <c r="C19" s="176"/>
      <c r="D19" s="214">
        <v>205</v>
      </c>
      <c r="E19" s="36"/>
    </row>
    <row r="20" spans="1:16">
      <c r="A20" s="39" t="s">
        <v>220</v>
      </c>
      <c r="B20" s="197">
        <v>145</v>
      </c>
      <c r="C20" s="177">
        <v>45</v>
      </c>
      <c r="D20" s="214">
        <v>140</v>
      </c>
      <c r="E20" s="36"/>
    </row>
    <row r="21" spans="1:16">
      <c r="A21" s="39" t="s">
        <v>240</v>
      </c>
      <c r="B21" s="197">
        <v>85</v>
      </c>
      <c r="C21" s="177">
        <v>12</v>
      </c>
      <c r="D21" s="214">
        <v>82</v>
      </c>
      <c r="E21" s="36"/>
      <c r="F21" s="36"/>
      <c r="G21" s="36"/>
      <c r="H21" s="36"/>
      <c r="I21" s="36"/>
      <c r="J21" s="36"/>
      <c r="K21" s="36"/>
      <c r="L21" s="36"/>
      <c r="M21" s="36"/>
      <c r="N21" s="36"/>
      <c r="O21" s="36"/>
      <c r="P21" s="36"/>
    </row>
    <row r="22" spans="1:16">
      <c r="A22" s="39" t="s">
        <v>107</v>
      </c>
      <c r="B22" s="197">
        <v>365</v>
      </c>
      <c r="C22" s="176"/>
      <c r="D22" s="214">
        <v>350</v>
      </c>
      <c r="E22" s="36"/>
      <c r="F22" s="36"/>
      <c r="G22" s="36"/>
      <c r="H22" s="36"/>
      <c r="I22" s="36"/>
      <c r="J22" s="36"/>
      <c r="K22" s="36"/>
      <c r="L22" s="36"/>
      <c r="M22" s="36"/>
      <c r="N22" s="36"/>
      <c r="O22" s="36"/>
      <c r="P22" s="36"/>
    </row>
    <row r="23" spans="1:16">
      <c r="A23" s="39" t="s">
        <v>201</v>
      </c>
      <c r="B23" s="197">
        <v>30</v>
      </c>
      <c r="C23" s="176"/>
      <c r="D23" s="214">
        <v>33</v>
      </c>
      <c r="E23" s="36"/>
      <c r="F23" s="36"/>
      <c r="G23" s="36"/>
      <c r="H23" s="36"/>
      <c r="I23" s="36"/>
      <c r="J23" s="36"/>
      <c r="K23" s="36"/>
      <c r="L23" s="36"/>
      <c r="M23" s="36"/>
      <c r="N23" s="36"/>
      <c r="O23" s="36"/>
      <c r="P23" s="36"/>
    </row>
    <row r="24" spans="1:16">
      <c r="A24" s="39" t="s">
        <v>202</v>
      </c>
      <c r="B24" s="197">
        <v>100</v>
      </c>
      <c r="C24" s="176"/>
      <c r="D24" s="214">
        <v>95</v>
      </c>
      <c r="E24" s="36"/>
      <c r="F24" s="36"/>
      <c r="G24" s="36"/>
      <c r="H24" s="36"/>
      <c r="I24" s="36"/>
      <c r="J24" s="36"/>
      <c r="K24" s="36"/>
      <c r="L24" s="36"/>
      <c r="M24" s="36"/>
      <c r="N24" s="36"/>
      <c r="O24" s="36"/>
      <c r="P24" s="36"/>
    </row>
    <row r="25" spans="1:16">
      <c r="A25" s="39" t="s">
        <v>108</v>
      </c>
      <c r="B25" s="197">
        <v>325</v>
      </c>
      <c r="C25" s="176"/>
      <c r="D25" s="214">
        <v>315</v>
      </c>
      <c r="E25" s="36"/>
      <c r="F25" s="36"/>
      <c r="G25" s="36"/>
      <c r="H25" s="36"/>
      <c r="I25" s="36"/>
      <c r="J25" s="36"/>
      <c r="K25" s="36"/>
      <c r="L25" s="36"/>
      <c r="M25" s="36"/>
      <c r="N25" s="36"/>
      <c r="O25" s="36"/>
      <c r="P25" s="36"/>
    </row>
    <row r="26" spans="1:16">
      <c r="A26" s="39" t="s">
        <v>109</v>
      </c>
      <c r="B26" s="197">
        <v>450</v>
      </c>
      <c r="C26" s="176"/>
      <c r="D26" s="214">
        <v>390</v>
      </c>
      <c r="E26" s="36"/>
      <c r="F26" s="36"/>
      <c r="G26" s="36"/>
      <c r="H26" s="36"/>
      <c r="I26" s="36"/>
      <c r="J26" s="36"/>
      <c r="K26" s="36"/>
      <c r="L26" s="36"/>
      <c r="M26" s="36"/>
      <c r="N26" s="36"/>
      <c r="O26" s="36"/>
      <c r="P26" s="36"/>
    </row>
    <row r="27" spans="1:16">
      <c r="A27" s="39" t="s">
        <v>199</v>
      </c>
      <c r="B27" s="197">
        <v>6500</v>
      </c>
      <c r="C27" s="176"/>
      <c r="D27" s="214">
        <v>6500</v>
      </c>
      <c r="E27" s="36"/>
      <c r="F27" s="36"/>
      <c r="G27" s="36"/>
      <c r="H27" s="36"/>
      <c r="I27" s="36"/>
      <c r="J27" s="36"/>
      <c r="K27" s="36"/>
      <c r="L27" s="36"/>
      <c r="M27" s="36"/>
      <c r="N27" s="36"/>
      <c r="O27" s="36"/>
      <c r="P27" s="36"/>
    </row>
    <row r="28" spans="1:16">
      <c r="A28" s="39" t="s">
        <v>200</v>
      </c>
      <c r="B28" s="197">
        <v>6500</v>
      </c>
      <c r="C28" s="176"/>
      <c r="D28" s="214">
        <v>6500</v>
      </c>
      <c r="E28" s="36"/>
      <c r="F28" s="36"/>
      <c r="G28" s="36"/>
      <c r="H28" s="36"/>
      <c r="I28" s="36"/>
      <c r="J28" s="36"/>
      <c r="K28" s="36"/>
      <c r="L28" s="36"/>
      <c r="M28" s="36"/>
      <c r="N28" s="36"/>
      <c r="O28" s="36"/>
      <c r="P28" s="36"/>
    </row>
    <row r="29" spans="1:16">
      <c r="A29" s="39" t="s">
        <v>203</v>
      </c>
      <c r="B29" s="197">
        <v>95</v>
      </c>
      <c r="C29" s="176"/>
      <c r="D29" s="214">
        <v>90</v>
      </c>
      <c r="E29" s="36"/>
      <c r="F29" s="36"/>
      <c r="G29" s="36"/>
      <c r="H29" s="36"/>
      <c r="I29" s="36"/>
      <c r="J29" s="36"/>
      <c r="K29" s="36"/>
      <c r="L29" s="36"/>
      <c r="M29" s="36"/>
      <c r="N29" s="36"/>
      <c r="O29" s="36"/>
      <c r="P29" s="36"/>
    </row>
    <row r="30" spans="1:16">
      <c r="A30" s="39" t="s">
        <v>204</v>
      </c>
      <c r="B30" s="197">
        <v>150</v>
      </c>
      <c r="C30" s="176"/>
      <c r="D30" s="214">
        <v>135</v>
      </c>
      <c r="E30" s="36"/>
      <c r="F30" s="36"/>
      <c r="G30" s="36"/>
      <c r="H30" s="36"/>
      <c r="I30" s="36"/>
      <c r="J30" s="36"/>
      <c r="K30" s="36"/>
      <c r="L30" s="36"/>
      <c r="M30" s="36"/>
      <c r="N30" s="36"/>
      <c r="O30" s="36"/>
      <c r="P30" s="36"/>
    </row>
    <row r="31" spans="1:16">
      <c r="A31" s="39" t="s">
        <v>110</v>
      </c>
      <c r="B31" s="197">
        <v>1500</v>
      </c>
      <c r="C31" s="176"/>
      <c r="D31" s="214">
        <v>1750</v>
      </c>
      <c r="E31" s="36"/>
      <c r="F31" s="36"/>
      <c r="G31" s="36"/>
      <c r="H31" s="36"/>
      <c r="I31" s="36"/>
      <c r="J31" s="36"/>
      <c r="K31" s="36"/>
      <c r="L31" s="36"/>
      <c r="M31" s="36"/>
      <c r="N31" s="36"/>
      <c r="O31" s="36"/>
      <c r="P31" s="36"/>
    </row>
    <row r="32" spans="1:16">
      <c r="A32" s="39" t="s">
        <v>111</v>
      </c>
      <c r="B32" s="197">
        <v>2000</v>
      </c>
      <c r="C32" s="176"/>
      <c r="D32" s="214">
        <v>2450</v>
      </c>
      <c r="E32" s="36"/>
      <c r="F32" s="36"/>
      <c r="G32" s="36"/>
      <c r="H32" s="36"/>
      <c r="I32" s="36"/>
      <c r="J32" s="36"/>
      <c r="K32" s="36"/>
      <c r="L32" s="36"/>
      <c r="M32" s="36"/>
      <c r="N32" s="36"/>
      <c r="O32" s="36"/>
      <c r="P32" s="36"/>
    </row>
    <row r="33" spans="1:31">
      <c r="A33" s="39" t="s">
        <v>112</v>
      </c>
      <c r="B33" s="197">
        <v>235</v>
      </c>
      <c r="C33" s="176"/>
      <c r="D33" s="214">
        <v>225</v>
      </c>
      <c r="E33" s="36"/>
      <c r="F33" s="36"/>
      <c r="G33" s="36"/>
      <c r="H33" s="36"/>
      <c r="I33" s="36"/>
      <c r="J33" s="36"/>
      <c r="K33" s="36"/>
      <c r="L33" s="36"/>
      <c r="M33" s="36"/>
      <c r="N33" s="36"/>
      <c r="O33" s="36"/>
      <c r="P33" s="36"/>
    </row>
    <row r="34" spans="1:31">
      <c r="A34" s="39" t="s">
        <v>213</v>
      </c>
      <c r="B34" s="197">
        <v>2400</v>
      </c>
      <c r="C34" s="176"/>
      <c r="D34" s="214">
        <v>2300</v>
      </c>
      <c r="E34" s="36"/>
      <c r="F34" s="36"/>
      <c r="G34" s="36"/>
      <c r="H34" s="36"/>
      <c r="I34" s="36"/>
      <c r="J34" s="36"/>
      <c r="K34" s="36"/>
      <c r="L34" s="36"/>
      <c r="M34" s="36"/>
      <c r="N34" s="36"/>
      <c r="O34" s="36"/>
      <c r="P34" s="36"/>
    </row>
    <row r="35" spans="1:31">
      <c r="A35" s="39"/>
      <c r="B35" s="190"/>
      <c r="C35" s="176"/>
      <c r="D35" s="215"/>
      <c r="E35" s="36"/>
      <c r="F35" s="36"/>
      <c r="G35" s="36"/>
      <c r="H35" s="36"/>
      <c r="I35" s="36"/>
      <c r="J35" s="36"/>
      <c r="K35" s="36"/>
      <c r="L35" s="36"/>
      <c r="M35" s="36"/>
      <c r="N35" s="36"/>
      <c r="O35" s="36"/>
      <c r="P35" s="36"/>
    </row>
    <row r="36" spans="1:31">
      <c r="A36" s="39" t="s">
        <v>113</v>
      </c>
      <c r="B36" s="197">
        <v>0</v>
      </c>
      <c r="C36" s="176"/>
      <c r="D36" s="216">
        <v>0</v>
      </c>
      <c r="E36" s="36"/>
      <c r="F36" s="36"/>
      <c r="G36" s="36"/>
      <c r="H36" s="36"/>
      <c r="I36" s="36"/>
      <c r="J36" s="36"/>
      <c r="K36" s="36"/>
      <c r="L36" s="36"/>
      <c r="M36" s="36"/>
      <c r="N36" s="36"/>
      <c r="O36" s="36"/>
      <c r="P36" s="36"/>
    </row>
    <row r="37" spans="1:31">
      <c r="A37" s="39" t="s">
        <v>135</v>
      </c>
      <c r="B37" s="197">
        <v>33000</v>
      </c>
      <c r="C37" s="176"/>
      <c r="D37" s="216">
        <v>32000</v>
      </c>
      <c r="E37" s="36"/>
      <c r="F37" s="36"/>
      <c r="G37" s="36"/>
      <c r="H37" s="36"/>
      <c r="I37" s="36"/>
      <c r="J37" s="36"/>
      <c r="K37" s="36"/>
      <c r="L37" s="36"/>
      <c r="M37" s="36"/>
      <c r="N37" s="36"/>
      <c r="O37" s="36"/>
      <c r="P37" s="36"/>
    </row>
    <row r="38" spans="1:31" ht="13.5" thickBot="1">
      <c r="A38" s="39" t="s">
        <v>5</v>
      </c>
      <c r="B38" s="197">
        <v>0</v>
      </c>
      <c r="C38" s="176"/>
      <c r="D38" s="217">
        <v>0</v>
      </c>
      <c r="E38" s="36"/>
      <c r="F38" s="36"/>
      <c r="G38" s="36"/>
      <c r="H38" s="36"/>
      <c r="I38" s="36"/>
      <c r="J38" s="36"/>
      <c r="K38" s="36"/>
      <c r="L38" s="36"/>
      <c r="M38" s="36"/>
      <c r="N38" s="36"/>
      <c r="O38" s="36"/>
      <c r="P38" s="36"/>
    </row>
    <row r="39" spans="1:31">
      <c r="A39" s="36"/>
      <c r="B39" s="40"/>
      <c r="C39" s="36"/>
      <c r="D39" s="36"/>
      <c r="E39" s="36"/>
      <c r="F39" s="36"/>
      <c r="G39" s="36"/>
      <c r="H39" s="36"/>
      <c r="I39" s="36"/>
      <c r="J39" s="36"/>
      <c r="K39" s="36"/>
      <c r="L39" s="36"/>
      <c r="M39" s="36"/>
      <c r="N39" s="36"/>
      <c r="O39" s="36"/>
      <c r="P39" s="36"/>
      <c r="AA39" s="28" t="str">
        <f>VLOOKUP(B43&amp;C43,AC43:AD68,2,FALSE)</f>
        <v>(Less HSA Reimbursement)</v>
      </c>
    </row>
    <row r="40" spans="1:31">
      <c r="A40" s="41" t="s">
        <v>42</v>
      </c>
      <c r="B40" s="42" t="s">
        <v>140</v>
      </c>
      <c r="C40" s="42" t="s">
        <v>141</v>
      </c>
      <c r="D40" s="42" t="s">
        <v>139</v>
      </c>
      <c r="E40" s="36" t="s">
        <v>210</v>
      </c>
      <c r="F40" s="36"/>
      <c r="G40" s="36"/>
      <c r="H40" s="42"/>
      <c r="I40" s="42"/>
      <c r="J40" s="42"/>
      <c r="K40" s="36"/>
      <c r="L40" s="36"/>
      <c r="M40" s="36"/>
      <c r="N40" s="36"/>
      <c r="O40" s="36"/>
      <c r="P40" s="36"/>
      <c r="AA40" s="28" t="str">
        <f>VLOOKUP(B43&amp;C43,AC43:AE68,3,FALSE)</f>
        <v>HSA Rollover</v>
      </c>
    </row>
    <row r="41" spans="1:31">
      <c r="A41" s="41"/>
      <c r="B41" s="42"/>
      <c r="C41" s="42"/>
      <c r="D41" s="42"/>
      <c r="E41" s="36"/>
      <c r="F41" s="36"/>
      <c r="G41" s="36"/>
      <c r="H41" s="42"/>
      <c r="I41" s="42"/>
      <c r="J41" s="42"/>
      <c r="K41" s="36"/>
      <c r="L41" s="36"/>
      <c r="M41" s="36"/>
      <c r="N41" s="36"/>
      <c r="O41" s="36"/>
      <c r="P41" s="36"/>
    </row>
    <row r="42" spans="1:31">
      <c r="A42" s="41" t="s">
        <v>43</v>
      </c>
      <c r="B42" s="42"/>
      <c r="C42" s="42"/>
      <c r="D42" s="42"/>
      <c r="E42" s="36"/>
      <c r="F42" s="36"/>
      <c r="G42" s="36"/>
      <c r="H42" s="42"/>
      <c r="I42" s="42"/>
      <c r="J42" s="42"/>
      <c r="K42" s="36"/>
      <c r="L42" s="36"/>
      <c r="M42" s="36"/>
      <c r="N42" s="36"/>
      <c r="O42" s="36"/>
      <c r="P42" s="36"/>
      <c r="AA42" s="28">
        <v>1</v>
      </c>
      <c r="AB42" s="28">
        <v>2</v>
      </c>
      <c r="AC42" s="28" t="s">
        <v>44</v>
      </c>
    </row>
    <row r="43" spans="1:31">
      <c r="A43" s="39" t="s">
        <v>31</v>
      </c>
      <c r="B43" s="42" t="s">
        <v>32</v>
      </c>
      <c r="C43" s="42" t="s">
        <v>45</v>
      </c>
      <c r="D43" s="42"/>
      <c r="H43" s="42"/>
      <c r="I43" s="42"/>
      <c r="J43" s="42"/>
      <c r="T43" s="36" t="s">
        <v>46</v>
      </c>
      <c r="Z43" s="28" t="s">
        <v>41</v>
      </c>
      <c r="AA43" s="28" t="s">
        <v>32</v>
      </c>
      <c r="AB43" s="28" t="s">
        <v>32</v>
      </c>
      <c r="AC43" s="28" t="str">
        <f>AA43&amp;AB43</f>
        <v>PPOPPO</v>
      </c>
      <c r="AD43" s="43"/>
      <c r="AE43" s="43"/>
    </row>
    <row r="44" spans="1:31">
      <c r="A44" s="39" t="s">
        <v>47</v>
      </c>
      <c r="B44" s="44">
        <v>500</v>
      </c>
      <c r="C44" s="44">
        <v>3200</v>
      </c>
      <c r="D44" s="44"/>
      <c r="E44" s="36"/>
      <c r="F44" s="36"/>
      <c r="G44" s="36"/>
      <c r="H44" s="44"/>
      <c r="I44" s="44"/>
      <c r="J44" s="44"/>
      <c r="K44" s="36"/>
      <c r="L44" s="36"/>
      <c r="M44" s="36"/>
      <c r="N44" s="36"/>
      <c r="O44" s="36"/>
      <c r="P44" s="36"/>
      <c r="AA44" s="28" t="s">
        <v>32</v>
      </c>
      <c r="AB44" s="28" t="s">
        <v>48</v>
      </c>
      <c r="AC44" s="28" t="str">
        <f t="shared" ref="AC44:AC68" si="0">AA44&amp;AB44</f>
        <v>PPOHMO</v>
      </c>
      <c r="AD44" s="43"/>
      <c r="AE44" s="43"/>
    </row>
    <row r="45" spans="1:31">
      <c r="A45" s="39" t="s">
        <v>49</v>
      </c>
      <c r="B45" s="44">
        <v>1500</v>
      </c>
      <c r="C45" s="44">
        <v>6400</v>
      </c>
      <c r="D45" s="44"/>
      <c r="E45" s="36"/>
      <c r="F45" s="36"/>
      <c r="G45" s="36"/>
      <c r="H45" s="44"/>
      <c r="I45" s="44"/>
      <c r="J45" s="44"/>
      <c r="K45" s="36"/>
      <c r="L45" s="36"/>
      <c r="M45" s="36"/>
      <c r="N45" s="36"/>
      <c r="O45" s="36"/>
      <c r="P45" s="36"/>
      <c r="AA45" s="28" t="s">
        <v>32</v>
      </c>
      <c r="AB45" s="28" t="s">
        <v>50</v>
      </c>
      <c r="AC45" s="28" t="str">
        <f t="shared" si="0"/>
        <v>PPOPOS</v>
      </c>
      <c r="AD45" s="43"/>
      <c r="AE45" s="43"/>
    </row>
    <row r="46" spans="1:31">
      <c r="A46" s="39" t="s">
        <v>206</v>
      </c>
      <c r="B46" s="45">
        <v>0.2</v>
      </c>
      <c r="C46" s="45">
        <v>0.2</v>
      </c>
      <c r="D46" s="45"/>
      <c r="E46" s="36"/>
      <c r="F46" s="36"/>
      <c r="G46" s="36"/>
      <c r="H46" s="45"/>
      <c r="I46" s="45"/>
      <c r="J46" s="45"/>
      <c r="K46" s="36"/>
      <c r="L46" s="36"/>
      <c r="M46" s="36"/>
      <c r="N46" s="36"/>
      <c r="O46" s="36"/>
      <c r="P46" s="36"/>
      <c r="AA46" s="28" t="s">
        <v>32</v>
      </c>
      <c r="AB46" s="28" t="s">
        <v>45</v>
      </c>
      <c r="AC46" s="28" t="str">
        <f t="shared" si="0"/>
        <v>PPOHSA</v>
      </c>
      <c r="AD46" s="43" t="s">
        <v>51</v>
      </c>
      <c r="AE46" s="43" t="s">
        <v>52</v>
      </c>
    </row>
    <row r="47" spans="1:31">
      <c r="A47" s="46" t="s">
        <v>205</v>
      </c>
      <c r="B47" s="45">
        <v>0.3</v>
      </c>
      <c r="C47" s="45">
        <v>0.2</v>
      </c>
      <c r="D47" s="45"/>
      <c r="E47" s="36"/>
      <c r="F47" s="36"/>
      <c r="G47" s="36"/>
      <c r="H47" s="45"/>
      <c r="I47" s="45"/>
      <c r="J47" s="45"/>
      <c r="K47" s="36"/>
      <c r="L47" s="36"/>
      <c r="M47" s="36"/>
      <c r="N47" s="36"/>
      <c r="O47" s="36"/>
      <c r="P47" s="36"/>
      <c r="AD47" s="43"/>
      <c r="AE47" s="43"/>
    </row>
    <row r="48" spans="1:31">
      <c r="A48" s="39" t="s">
        <v>34</v>
      </c>
      <c r="B48" s="44">
        <v>3000</v>
      </c>
      <c r="C48" s="44">
        <v>4500</v>
      </c>
      <c r="D48" s="44"/>
      <c r="E48" s="36"/>
      <c r="F48" s="36"/>
      <c r="G48" s="36"/>
      <c r="H48" s="44"/>
      <c r="I48" s="44"/>
      <c r="J48" s="44"/>
      <c r="K48" s="36"/>
      <c r="L48" s="36"/>
      <c r="M48" s="36"/>
      <c r="N48" s="36"/>
      <c r="O48" s="36"/>
      <c r="P48" s="36"/>
      <c r="AA48" s="28" t="s">
        <v>32</v>
      </c>
      <c r="AB48" s="28" t="s">
        <v>53</v>
      </c>
      <c r="AC48" s="28" t="str">
        <f t="shared" si="0"/>
        <v>PPOHRA</v>
      </c>
      <c r="AD48" s="43" t="s">
        <v>54</v>
      </c>
      <c r="AE48" s="43" t="s">
        <v>55</v>
      </c>
    </row>
    <row r="49" spans="1:35">
      <c r="A49" s="39" t="s">
        <v>101</v>
      </c>
      <c r="B49" s="44">
        <v>6000</v>
      </c>
      <c r="C49" s="44">
        <v>9000</v>
      </c>
      <c r="D49" s="44"/>
      <c r="E49" s="36"/>
      <c r="F49" s="36"/>
      <c r="G49" s="36"/>
      <c r="H49" s="44"/>
      <c r="I49" s="44"/>
      <c r="J49" s="44"/>
      <c r="K49" s="36"/>
      <c r="L49" s="36"/>
      <c r="M49" s="36"/>
      <c r="N49" s="36"/>
      <c r="O49" s="36"/>
      <c r="P49" s="36"/>
      <c r="AA49" s="28" t="s">
        <v>48</v>
      </c>
      <c r="AB49" s="28" t="s">
        <v>32</v>
      </c>
      <c r="AC49" s="28" t="str">
        <f t="shared" si="0"/>
        <v>HMOPPO</v>
      </c>
      <c r="AD49" s="43"/>
      <c r="AE49" s="43"/>
    </row>
    <row r="50" spans="1:35">
      <c r="A50" s="39" t="s">
        <v>119</v>
      </c>
      <c r="B50" s="44">
        <v>3000</v>
      </c>
      <c r="C50" s="44">
        <v>4500</v>
      </c>
      <c r="D50" s="44"/>
      <c r="E50" s="36" t="s">
        <v>102</v>
      </c>
      <c r="F50" s="36"/>
      <c r="G50" s="36"/>
      <c r="H50" s="44"/>
      <c r="I50" s="44"/>
      <c r="J50" s="44"/>
      <c r="K50" s="36"/>
      <c r="L50" s="36"/>
      <c r="M50" s="36"/>
      <c r="N50" s="36"/>
      <c r="O50" s="36"/>
      <c r="P50" s="36"/>
      <c r="AA50" s="28" t="s">
        <v>48</v>
      </c>
      <c r="AB50" s="28" t="s">
        <v>48</v>
      </c>
      <c r="AC50" s="28" t="str">
        <f t="shared" si="0"/>
        <v>HMOHMO</v>
      </c>
      <c r="AD50" s="43"/>
      <c r="AE50" s="43"/>
      <c r="AF50" s="34"/>
      <c r="AG50" s="34"/>
      <c r="AH50" s="34"/>
      <c r="AI50" s="34"/>
    </row>
    <row r="51" spans="1:35" s="34" customFormat="1">
      <c r="A51" s="46" t="s">
        <v>56</v>
      </c>
      <c r="B51" s="47">
        <v>1</v>
      </c>
      <c r="C51" s="47">
        <v>1</v>
      </c>
      <c r="D51" s="47"/>
      <c r="E51" s="43" t="s">
        <v>115</v>
      </c>
      <c r="F51" s="43"/>
      <c r="G51" s="43"/>
      <c r="H51" s="47"/>
      <c r="I51" s="47"/>
      <c r="J51" s="47"/>
      <c r="K51" s="43"/>
      <c r="L51" s="43"/>
      <c r="M51" s="43"/>
      <c r="N51" s="43"/>
      <c r="O51" s="43"/>
      <c r="P51" s="43"/>
      <c r="AA51" s="28" t="s">
        <v>48</v>
      </c>
      <c r="AB51" s="28" t="s">
        <v>50</v>
      </c>
      <c r="AC51" s="28" t="str">
        <f t="shared" si="0"/>
        <v>HMOPOS</v>
      </c>
      <c r="AD51" s="43"/>
      <c r="AE51" s="43"/>
    </row>
    <row r="52" spans="1:35" s="34" customFormat="1">
      <c r="A52" s="46" t="s">
        <v>57</v>
      </c>
      <c r="B52" s="47">
        <v>1</v>
      </c>
      <c r="C52" s="47">
        <v>1</v>
      </c>
      <c r="D52" s="47"/>
      <c r="E52" s="43" t="s">
        <v>115</v>
      </c>
      <c r="F52" s="43"/>
      <c r="G52" s="43"/>
      <c r="H52" s="47"/>
      <c r="I52" s="47"/>
      <c r="J52" s="47"/>
      <c r="K52" s="43"/>
      <c r="L52" s="43"/>
      <c r="M52" s="43"/>
      <c r="N52" s="43"/>
      <c r="O52" s="43"/>
      <c r="P52" s="43"/>
      <c r="AA52" s="28" t="s">
        <v>48</v>
      </c>
      <c r="AB52" s="28" t="s">
        <v>45</v>
      </c>
      <c r="AC52" s="28" t="str">
        <f t="shared" si="0"/>
        <v>HMOHSA</v>
      </c>
      <c r="AD52" s="43" t="s">
        <v>51</v>
      </c>
      <c r="AE52" s="43" t="s">
        <v>52</v>
      </c>
    </row>
    <row r="53" spans="1:35" s="34" customFormat="1">
      <c r="A53" s="46" t="s">
        <v>58</v>
      </c>
      <c r="B53" s="47">
        <v>1</v>
      </c>
      <c r="C53" s="47">
        <v>1</v>
      </c>
      <c r="D53" s="47"/>
      <c r="E53" s="43"/>
      <c r="F53" s="43"/>
      <c r="G53" s="43"/>
      <c r="H53" s="47"/>
      <c r="I53" s="47"/>
      <c r="J53" s="47"/>
      <c r="K53" s="43"/>
      <c r="L53" s="43"/>
      <c r="M53" s="43"/>
      <c r="N53" s="43"/>
      <c r="O53" s="43"/>
      <c r="P53" s="43"/>
      <c r="AA53" s="28" t="s">
        <v>48</v>
      </c>
      <c r="AB53" s="28" t="s">
        <v>53</v>
      </c>
      <c r="AC53" s="28" t="str">
        <f t="shared" si="0"/>
        <v>HMOHRA</v>
      </c>
      <c r="AD53" s="43" t="s">
        <v>51</v>
      </c>
      <c r="AE53" s="43" t="s">
        <v>52</v>
      </c>
    </row>
    <row r="54" spans="1:35" s="34" customFormat="1">
      <c r="A54" s="46" t="s">
        <v>59</v>
      </c>
      <c r="B54" s="47">
        <v>1</v>
      </c>
      <c r="C54" s="47">
        <v>1</v>
      </c>
      <c r="D54" s="47"/>
      <c r="E54" s="43" t="s">
        <v>120</v>
      </c>
      <c r="F54" s="43"/>
      <c r="G54" s="43"/>
      <c r="H54" s="47"/>
      <c r="I54" s="47"/>
      <c r="J54" s="47"/>
      <c r="K54" s="43"/>
      <c r="L54" s="43"/>
      <c r="M54" s="43"/>
      <c r="N54" s="43"/>
      <c r="O54" s="43"/>
      <c r="P54" s="43"/>
      <c r="AA54" s="28" t="s">
        <v>50</v>
      </c>
      <c r="AB54" s="28" t="s">
        <v>32</v>
      </c>
      <c r="AC54" s="28" t="str">
        <f t="shared" si="0"/>
        <v>POSPPO</v>
      </c>
      <c r="AD54" s="43"/>
      <c r="AE54" s="43"/>
    </row>
    <row r="55" spans="1:35" s="34" customFormat="1">
      <c r="A55" s="46"/>
      <c r="B55" s="47"/>
      <c r="C55" s="47"/>
      <c r="D55" s="47"/>
      <c r="E55" s="43"/>
      <c r="F55" s="43"/>
      <c r="G55" s="43"/>
      <c r="H55" s="47"/>
      <c r="I55" s="47"/>
      <c r="J55" s="47"/>
      <c r="K55" s="43"/>
      <c r="L55" s="43"/>
      <c r="M55" s="43"/>
      <c r="N55" s="43"/>
      <c r="O55" s="43"/>
      <c r="P55" s="43"/>
      <c r="AA55" s="28" t="s">
        <v>50</v>
      </c>
      <c r="AB55" s="28" t="s">
        <v>48</v>
      </c>
      <c r="AC55" s="28" t="str">
        <f t="shared" si="0"/>
        <v>POSHMO</v>
      </c>
      <c r="AD55" s="43"/>
      <c r="AE55" s="43"/>
    </row>
    <row r="56" spans="1:35" s="34" customFormat="1">
      <c r="A56" s="48" t="s">
        <v>60</v>
      </c>
      <c r="B56" s="47"/>
      <c r="C56" s="47"/>
      <c r="D56" s="47"/>
      <c r="E56" s="43"/>
      <c r="F56" s="43"/>
      <c r="G56" s="43"/>
      <c r="H56" s="47"/>
      <c r="I56" s="47"/>
      <c r="J56" s="47"/>
      <c r="K56" s="43"/>
      <c r="L56" s="43"/>
      <c r="M56" s="43"/>
      <c r="N56" s="43"/>
      <c r="O56" s="43"/>
      <c r="P56" s="43"/>
      <c r="AA56" s="28" t="s">
        <v>50</v>
      </c>
      <c r="AB56" s="28" t="s">
        <v>50</v>
      </c>
      <c r="AC56" s="28" t="str">
        <f t="shared" si="0"/>
        <v>POSPOS</v>
      </c>
      <c r="AD56" s="43"/>
      <c r="AE56" s="43"/>
      <c r="AF56" s="28"/>
      <c r="AG56" s="28"/>
      <c r="AH56" s="28"/>
      <c r="AI56" s="28"/>
    </row>
    <row r="57" spans="1:35">
      <c r="A57" s="39" t="s">
        <v>61</v>
      </c>
      <c r="E57" s="36"/>
      <c r="F57" s="36"/>
      <c r="G57" s="36"/>
      <c r="K57" s="36"/>
      <c r="L57" s="36"/>
      <c r="M57" s="36"/>
      <c r="N57" s="36"/>
      <c r="O57" s="36"/>
      <c r="P57" s="36"/>
      <c r="AA57" s="28" t="s">
        <v>50</v>
      </c>
      <c r="AB57" s="28" t="s">
        <v>45</v>
      </c>
      <c r="AC57" s="28" t="str">
        <f t="shared" si="0"/>
        <v>POSHSA</v>
      </c>
      <c r="AD57" s="43" t="s">
        <v>51</v>
      </c>
      <c r="AE57" s="43" t="s">
        <v>52</v>
      </c>
    </row>
    <row r="58" spans="1:35">
      <c r="A58" s="49" t="s">
        <v>62</v>
      </c>
      <c r="B58" s="44">
        <v>0</v>
      </c>
      <c r="C58" s="44">
        <v>0</v>
      </c>
      <c r="D58" s="44"/>
      <c r="E58" s="36"/>
      <c r="F58" s="36"/>
      <c r="G58" s="36"/>
      <c r="H58" s="44"/>
      <c r="I58" s="44"/>
      <c r="J58" s="44"/>
      <c r="K58" s="36"/>
      <c r="L58" s="36"/>
      <c r="M58" s="36"/>
      <c r="N58" s="36"/>
      <c r="O58" s="36"/>
      <c r="P58" s="36"/>
      <c r="AA58" s="28" t="s">
        <v>50</v>
      </c>
      <c r="AB58" s="28" t="s">
        <v>53</v>
      </c>
      <c r="AC58" s="28" t="str">
        <f t="shared" si="0"/>
        <v>POSHRA</v>
      </c>
      <c r="AD58" s="43" t="s">
        <v>51</v>
      </c>
      <c r="AE58" s="43" t="s">
        <v>52</v>
      </c>
    </row>
    <row r="59" spans="1:35">
      <c r="A59" s="49" t="s">
        <v>63</v>
      </c>
      <c r="B59" s="50">
        <v>0</v>
      </c>
      <c r="C59" s="50">
        <v>0</v>
      </c>
      <c r="D59" s="50"/>
      <c r="E59" s="36"/>
      <c r="F59" s="36"/>
      <c r="G59" s="36"/>
      <c r="H59" s="50"/>
      <c r="I59" s="50"/>
      <c r="J59" s="50"/>
      <c r="K59" s="36"/>
      <c r="L59" s="36"/>
      <c r="M59" s="36"/>
      <c r="N59" s="36"/>
      <c r="O59" s="36"/>
      <c r="P59" s="36"/>
      <c r="AA59" s="28" t="s">
        <v>53</v>
      </c>
      <c r="AB59" s="28" t="s">
        <v>32</v>
      </c>
      <c r="AC59" s="28" t="str">
        <f t="shared" si="0"/>
        <v>HRAPPO</v>
      </c>
      <c r="AD59" s="43" t="s">
        <v>54</v>
      </c>
      <c r="AE59" s="43" t="s">
        <v>55</v>
      </c>
    </row>
    <row r="60" spans="1:35">
      <c r="A60" s="49" t="s">
        <v>64</v>
      </c>
      <c r="B60" s="44">
        <v>0</v>
      </c>
      <c r="C60" s="44">
        <v>0</v>
      </c>
      <c r="D60" s="44"/>
      <c r="E60" s="36"/>
      <c r="F60" s="36"/>
      <c r="G60" s="36"/>
      <c r="H60" s="44"/>
      <c r="I60" s="44"/>
      <c r="J60" s="44"/>
      <c r="K60" s="36"/>
      <c r="L60" s="36"/>
      <c r="M60" s="36"/>
      <c r="N60" s="36"/>
      <c r="O60" s="36"/>
      <c r="P60" s="36"/>
      <c r="AA60" s="28" t="s">
        <v>53</v>
      </c>
      <c r="AB60" s="28" t="s">
        <v>48</v>
      </c>
      <c r="AC60" s="28" t="str">
        <f t="shared" si="0"/>
        <v>HRAHMO</v>
      </c>
      <c r="AD60" s="43" t="s">
        <v>54</v>
      </c>
      <c r="AE60" s="43" t="s">
        <v>55</v>
      </c>
    </row>
    <row r="61" spans="1:35">
      <c r="A61" s="49" t="s">
        <v>65</v>
      </c>
      <c r="B61" s="50">
        <v>0</v>
      </c>
      <c r="C61" s="50">
        <v>0</v>
      </c>
      <c r="D61" s="50"/>
      <c r="E61" s="36"/>
      <c r="F61" s="36"/>
      <c r="G61" s="36"/>
      <c r="H61" s="50"/>
      <c r="I61" s="50"/>
      <c r="J61" s="50"/>
      <c r="K61" s="36"/>
      <c r="L61" s="36"/>
      <c r="M61" s="36"/>
      <c r="N61" s="36"/>
      <c r="O61" s="36"/>
      <c r="P61" s="36"/>
      <c r="AA61" s="28" t="s">
        <v>53</v>
      </c>
      <c r="AB61" s="28" t="s">
        <v>50</v>
      </c>
      <c r="AC61" s="28" t="str">
        <f t="shared" si="0"/>
        <v>HRAPOS</v>
      </c>
      <c r="AD61" s="43" t="s">
        <v>54</v>
      </c>
      <c r="AE61" s="43" t="s">
        <v>55</v>
      </c>
    </row>
    <row r="62" spans="1:35">
      <c r="A62" s="49" t="s">
        <v>66</v>
      </c>
      <c r="B62" s="50">
        <v>0</v>
      </c>
      <c r="C62" s="50">
        <v>0</v>
      </c>
      <c r="D62" s="50"/>
      <c r="E62" s="36"/>
      <c r="F62" s="36"/>
      <c r="G62" s="36"/>
      <c r="H62" s="50"/>
      <c r="I62" s="50"/>
      <c r="J62" s="50"/>
      <c r="K62" s="36"/>
      <c r="L62" s="36"/>
      <c r="M62" s="36"/>
      <c r="N62" s="36"/>
      <c r="O62" s="36"/>
      <c r="P62" s="36"/>
      <c r="AA62" s="28" t="s">
        <v>53</v>
      </c>
      <c r="AB62" s="28" t="s">
        <v>45</v>
      </c>
      <c r="AC62" s="28" t="str">
        <f t="shared" si="0"/>
        <v>HRAHSA</v>
      </c>
      <c r="AD62" s="43" t="s">
        <v>67</v>
      </c>
      <c r="AE62" s="43" t="s">
        <v>68</v>
      </c>
    </row>
    <row r="63" spans="1:35">
      <c r="A63" s="39" t="s">
        <v>106</v>
      </c>
      <c r="E63" s="36"/>
      <c r="F63" s="36"/>
      <c r="G63" s="36"/>
      <c r="K63" s="36"/>
      <c r="L63" s="36"/>
      <c r="M63" s="36"/>
      <c r="N63" s="36"/>
      <c r="O63" s="36"/>
      <c r="P63" s="36"/>
      <c r="AA63" s="28" t="s">
        <v>53</v>
      </c>
      <c r="AB63" s="28" t="s">
        <v>53</v>
      </c>
      <c r="AC63" s="28" t="str">
        <f t="shared" si="0"/>
        <v>HRAHRA</v>
      </c>
      <c r="AD63" s="43" t="s">
        <v>54</v>
      </c>
      <c r="AE63" s="43" t="s">
        <v>55</v>
      </c>
    </row>
    <row r="64" spans="1:35">
      <c r="A64" s="49" t="s">
        <v>62</v>
      </c>
      <c r="B64" s="44">
        <v>25</v>
      </c>
      <c r="C64" s="44">
        <v>0</v>
      </c>
      <c r="D64" s="44"/>
      <c r="E64" s="36"/>
      <c r="F64" s="36"/>
      <c r="G64" s="36"/>
      <c r="H64" s="44"/>
      <c r="I64" s="44"/>
      <c r="J64" s="44"/>
      <c r="K64" s="36"/>
      <c r="L64" s="36"/>
      <c r="M64" s="36"/>
      <c r="N64" s="36"/>
      <c r="O64" s="36"/>
      <c r="P64" s="36"/>
      <c r="AA64" s="28" t="s">
        <v>45</v>
      </c>
      <c r="AB64" s="28" t="s">
        <v>32</v>
      </c>
      <c r="AC64" s="28" t="str">
        <f t="shared" si="0"/>
        <v>HSAPPO</v>
      </c>
      <c r="AD64" s="43" t="s">
        <v>51</v>
      </c>
      <c r="AE64" s="43" t="s">
        <v>52</v>
      </c>
    </row>
    <row r="65" spans="1:31">
      <c r="A65" s="49" t="s">
        <v>63</v>
      </c>
      <c r="B65" s="50">
        <v>0</v>
      </c>
      <c r="C65" s="50">
        <v>0</v>
      </c>
      <c r="D65" s="50"/>
      <c r="E65" s="36"/>
      <c r="F65" s="36"/>
      <c r="G65" s="36"/>
      <c r="H65" s="50"/>
      <c r="I65" s="50"/>
      <c r="J65" s="50"/>
      <c r="K65" s="36"/>
      <c r="L65" s="36"/>
      <c r="M65" s="36"/>
      <c r="N65" s="36"/>
      <c r="O65" s="36"/>
      <c r="P65" s="36"/>
      <c r="AA65" s="28" t="s">
        <v>45</v>
      </c>
      <c r="AB65" s="28" t="s">
        <v>48</v>
      </c>
      <c r="AC65" s="28" t="str">
        <f t="shared" si="0"/>
        <v>HSAHMO</v>
      </c>
      <c r="AD65" s="43" t="s">
        <v>51</v>
      </c>
      <c r="AE65" s="43" t="s">
        <v>52</v>
      </c>
    </row>
    <row r="66" spans="1:31">
      <c r="A66" s="49" t="s">
        <v>64</v>
      </c>
      <c r="B66" s="44">
        <v>0</v>
      </c>
      <c r="C66" s="44">
        <v>0</v>
      </c>
      <c r="D66" s="44"/>
      <c r="E66" s="36"/>
      <c r="F66" s="36"/>
      <c r="G66" s="36"/>
      <c r="H66" s="44"/>
      <c r="I66" s="44"/>
      <c r="J66" s="44"/>
      <c r="K66" s="36"/>
      <c r="L66" s="36"/>
      <c r="M66" s="36"/>
      <c r="N66" s="36"/>
      <c r="O66" s="36"/>
      <c r="P66" s="36"/>
      <c r="AA66" s="28" t="s">
        <v>45</v>
      </c>
      <c r="AB66" s="28" t="s">
        <v>50</v>
      </c>
      <c r="AC66" s="28" t="str">
        <f t="shared" si="0"/>
        <v>HSAPOS</v>
      </c>
      <c r="AD66" s="43" t="s">
        <v>51</v>
      </c>
      <c r="AE66" s="43" t="s">
        <v>52</v>
      </c>
    </row>
    <row r="67" spans="1:31">
      <c r="A67" s="49" t="s">
        <v>65</v>
      </c>
      <c r="B67" s="50">
        <v>0</v>
      </c>
      <c r="C67" s="50">
        <v>1</v>
      </c>
      <c r="D67" s="50"/>
      <c r="E67" s="36"/>
      <c r="F67" s="36"/>
      <c r="G67" s="36"/>
      <c r="H67" s="50"/>
      <c r="I67" s="50"/>
      <c r="J67" s="50"/>
      <c r="K67" s="36"/>
      <c r="L67" s="36"/>
      <c r="M67" s="36"/>
      <c r="N67" s="36"/>
      <c r="O67" s="36"/>
      <c r="P67" s="36"/>
      <c r="AA67" s="28" t="s">
        <v>45</v>
      </c>
      <c r="AB67" s="28" t="s">
        <v>45</v>
      </c>
      <c r="AC67" s="28" t="str">
        <f t="shared" si="0"/>
        <v>HSAHSA</v>
      </c>
      <c r="AD67" s="43" t="s">
        <v>51</v>
      </c>
      <c r="AE67" s="43" t="s">
        <v>52</v>
      </c>
    </row>
    <row r="68" spans="1:31">
      <c r="A68" s="49" t="s">
        <v>66</v>
      </c>
      <c r="B68" s="50">
        <v>0</v>
      </c>
      <c r="C68" s="50">
        <v>1</v>
      </c>
      <c r="D68" s="50"/>
      <c r="E68" s="36"/>
      <c r="F68" s="36"/>
      <c r="G68" s="36"/>
      <c r="H68" s="50"/>
      <c r="I68" s="50"/>
      <c r="J68" s="50"/>
      <c r="K68" s="36"/>
      <c r="L68" s="36"/>
      <c r="M68" s="36"/>
      <c r="N68" s="36"/>
      <c r="O68" s="36"/>
      <c r="P68" s="36"/>
      <c r="AA68" s="28" t="s">
        <v>45</v>
      </c>
      <c r="AB68" s="28" t="s">
        <v>53</v>
      </c>
      <c r="AC68" s="28" t="str">
        <f t="shared" si="0"/>
        <v>HSAHRA</v>
      </c>
      <c r="AD68" s="43" t="s">
        <v>69</v>
      </c>
      <c r="AE68" s="43" t="s">
        <v>70</v>
      </c>
    </row>
    <row r="69" spans="1:31">
      <c r="A69" s="46" t="s">
        <v>216</v>
      </c>
      <c r="B69" s="50"/>
      <c r="C69" s="50"/>
      <c r="D69" s="50"/>
      <c r="E69" s="36"/>
      <c r="F69" s="36"/>
      <c r="G69" s="36"/>
      <c r="H69" s="50"/>
      <c r="I69" s="50"/>
      <c r="J69" s="50"/>
      <c r="K69" s="36"/>
      <c r="L69" s="36"/>
      <c r="M69" s="36"/>
      <c r="N69" s="36"/>
      <c r="O69" s="36"/>
      <c r="P69" s="36"/>
      <c r="AD69" s="43"/>
      <c r="AE69" s="43"/>
    </row>
    <row r="70" spans="1:31">
      <c r="A70" s="192" t="s">
        <v>62</v>
      </c>
      <c r="B70" s="44">
        <v>40</v>
      </c>
      <c r="C70" s="44">
        <v>0</v>
      </c>
      <c r="D70" s="44"/>
      <c r="E70" s="36"/>
      <c r="F70" s="36"/>
      <c r="G70" s="36"/>
      <c r="H70" s="50"/>
      <c r="I70" s="50"/>
      <c r="J70" s="50"/>
      <c r="K70" s="36"/>
      <c r="L70" s="36"/>
      <c r="M70" s="36"/>
      <c r="N70" s="36"/>
      <c r="O70" s="36"/>
      <c r="P70" s="36"/>
      <c r="AD70" s="43"/>
      <c r="AE70" s="43"/>
    </row>
    <row r="71" spans="1:31">
      <c r="A71" s="192" t="s">
        <v>63</v>
      </c>
      <c r="B71" s="50">
        <v>0</v>
      </c>
      <c r="C71" s="50">
        <v>0</v>
      </c>
      <c r="D71" s="50"/>
      <c r="E71" s="36"/>
      <c r="F71" s="36"/>
      <c r="G71" s="36"/>
      <c r="H71" s="50"/>
      <c r="I71" s="50"/>
      <c r="J71" s="50"/>
      <c r="K71" s="36"/>
      <c r="L71" s="36"/>
      <c r="M71" s="36"/>
      <c r="N71" s="36"/>
      <c r="O71" s="36"/>
      <c r="P71" s="36"/>
      <c r="AD71" s="43"/>
      <c r="AE71" s="43"/>
    </row>
    <row r="72" spans="1:31">
      <c r="A72" s="192" t="s">
        <v>64</v>
      </c>
      <c r="B72" s="44">
        <v>0</v>
      </c>
      <c r="C72" s="44">
        <v>0</v>
      </c>
      <c r="D72" s="44"/>
      <c r="E72" s="36"/>
      <c r="F72" s="36"/>
      <c r="G72" s="36"/>
      <c r="H72" s="50"/>
      <c r="I72" s="50"/>
      <c r="J72" s="50"/>
      <c r="K72" s="36"/>
      <c r="L72" s="36"/>
      <c r="M72" s="36"/>
      <c r="N72" s="36"/>
      <c r="O72" s="36"/>
      <c r="P72" s="36"/>
      <c r="AD72" s="43"/>
      <c r="AE72" s="43"/>
    </row>
    <row r="73" spans="1:31">
      <c r="A73" s="192" t="s">
        <v>65</v>
      </c>
      <c r="B73" s="50">
        <v>0</v>
      </c>
      <c r="C73" s="50">
        <v>1</v>
      </c>
      <c r="D73" s="50"/>
      <c r="E73" s="36"/>
      <c r="F73" s="36"/>
      <c r="G73" s="36"/>
      <c r="H73" s="50"/>
      <c r="I73" s="50"/>
      <c r="J73" s="50"/>
      <c r="K73" s="36"/>
      <c r="L73" s="36"/>
      <c r="M73" s="36"/>
      <c r="N73" s="36"/>
      <c r="O73" s="36"/>
      <c r="P73" s="36"/>
      <c r="AD73" s="43"/>
      <c r="AE73" s="43"/>
    </row>
    <row r="74" spans="1:31">
      <c r="A74" s="192" t="s">
        <v>66</v>
      </c>
      <c r="B74" s="50">
        <v>0</v>
      </c>
      <c r="C74" s="50">
        <v>1</v>
      </c>
      <c r="D74" s="50"/>
      <c r="E74" s="36"/>
      <c r="F74" s="36"/>
      <c r="G74" s="36"/>
      <c r="H74" s="50"/>
      <c r="I74" s="50"/>
      <c r="J74" s="50"/>
      <c r="K74" s="36"/>
      <c r="L74" s="36"/>
      <c r="M74" s="36"/>
      <c r="N74" s="36"/>
      <c r="O74" s="36"/>
      <c r="P74" s="36"/>
      <c r="AD74" s="43"/>
      <c r="AE74" s="43"/>
    </row>
    <row r="75" spans="1:31">
      <c r="A75" s="39" t="s">
        <v>241</v>
      </c>
      <c r="E75" s="36"/>
      <c r="F75" s="36"/>
      <c r="G75" s="36"/>
      <c r="K75" s="36"/>
      <c r="L75" s="36"/>
      <c r="M75" s="36"/>
      <c r="N75" s="36"/>
      <c r="O75" s="36"/>
      <c r="P75" s="36"/>
    </row>
    <row r="76" spans="1:31">
      <c r="A76" s="49" t="s">
        <v>62</v>
      </c>
      <c r="B76" s="44">
        <v>25</v>
      </c>
      <c r="C76" s="44">
        <v>0</v>
      </c>
      <c r="D76" s="44"/>
      <c r="E76" s="36"/>
      <c r="F76" s="36"/>
      <c r="G76" s="36"/>
      <c r="H76" s="44"/>
      <c r="I76" s="44"/>
      <c r="J76" s="44"/>
      <c r="K76" s="36"/>
      <c r="L76" s="36"/>
      <c r="M76" s="36"/>
      <c r="N76" s="36"/>
      <c r="O76" s="36"/>
      <c r="P76" s="36"/>
    </row>
    <row r="77" spans="1:31">
      <c r="A77" s="49" t="s">
        <v>63</v>
      </c>
      <c r="B77" s="50">
        <v>0</v>
      </c>
      <c r="C77" s="50">
        <v>0</v>
      </c>
      <c r="D77" s="50"/>
      <c r="E77" s="36"/>
      <c r="F77" s="36"/>
      <c r="G77" s="36"/>
      <c r="H77" s="50"/>
      <c r="I77" s="50"/>
      <c r="J77" s="50"/>
      <c r="K77" s="36"/>
      <c r="L77" s="36"/>
      <c r="M77" s="36"/>
      <c r="N77" s="36"/>
      <c r="O77" s="36"/>
      <c r="P77" s="36"/>
    </row>
    <row r="78" spans="1:31">
      <c r="A78" s="49" t="s">
        <v>64</v>
      </c>
      <c r="B78" s="44">
        <v>0</v>
      </c>
      <c r="C78" s="44">
        <v>0</v>
      </c>
      <c r="D78" s="44"/>
      <c r="E78" s="36"/>
      <c r="F78" s="36"/>
      <c r="G78" s="36"/>
      <c r="H78" s="44"/>
      <c r="I78" s="44"/>
      <c r="J78" s="44"/>
      <c r="K78" s="36"/>
      <c r="L78" s="36"/>
      <c r="M78" s="36"/>
      <c r="N78" s="36"/>
      <c r="O78" s="36"/>
      <c r="P78" s="36"/>
    </row>
    <row r="79" spans="1:31">
      <c r="A79" s="49" t="s">
        <v>65</v>
      </c>
      <c r="B79" s="50">
        <v>0</v>
      </c>
      <c r="C79" s="50">
        <v>1</v>
      </c>
      <c r="D79" s="50"/>
      <c r="E79" s="36"/>
      <c r="F79" s="36"/>
      <c r="G79" s="36"/>
      <c r="H79" s="50"/>
      <c r="I79" s="50"/>
      <c r="J79" s="50"/>
      <c r="K79" s="36"/>
      <c r="L79" s="36"/>
      <c r="M79" s="36"/>
      <c r="N79" s="36"/>
      <c r="O79" s="36"/>
      <c r="P79" s="36"/>
    </row>
    <row r="80" spans="1:31">
      <c r="A80" s="49" t="s">
        <v>66</v>
      </c>
      <c r="B80" s="50">
        <v>0</v>
      </c>
      <c r="C80" s="50">
        <v>1</v>
      </c>
      <c r="D80" s="50"/>
      <c r="E80" s="36"/>
      <c r="F80" s="36"/>
      <c r="G80" s="36"/>
      <c r="H80" s="50"/>
      <c r="I80" s="50"/>
      <c r="J80" s="50"/>
      <c r="K80" s="36"/>
      <c r="L80" s="36"/>
      <c r="M80" s="36"/>
      <c r="N80" s="36"/>
      <c r="O80" s="36"/>
      <c r="P80" s="36"/>
    </row>
    <row r="81" spans="1:16">
      <c r="A81" s="39" t="s">
        <v>107</v>
      </c>
      <c r="E81" s="36"/>
      <c r="F81" s="36"/>
      <c r="G81" s="36"/>
      <c r="K81" s="36"/>
      <c r="L81" s="36"/>
      <c r="M81" s="36"/>
      <c r="N81" s="36"/>
      <c r="O81" s="36"/>
      <c r="P81" s="36"/>
    </row>
    <row r="82" spans="1:16">
      <c r="A82" s="49" t="s">
        <v>62</v>
      </c>
      <c r="B82" s="44">
        <v>40</v>
      </c>
      <c r="C82" s="44">
        <v>0</v>
      </c>
      <c r="D82" s="44"/>
      <c r="E82" s="36"/>
      <c r="F82" s="36"/>
      <c r="G82" s="36"/>
      <c r="H82" s="44"/>
      <c r="I82" s="44"/>
      <c r="J82" s="44"/>
      <c r="K82" s="36"/>
      <c r="L82" s="36"/>
      <c r="M82" s="36"/>
      <c r="N82" s="36"/>
      <c r="O82" s="36"/>
      <c r="P82" s="36"/>
    </row>
    <row r="83" spans="1:16">
      <c r="A83" s="49" t="s">
        <v>63</v>
      </c>
      <c r="B83" s="50">
        <v>0</v>
      </c>
      <c r="C83" s="50">
        <v>0</v>
      </c>
      <c r="D83" s="50"/>
      <c r="E83" s="36"/>
      <c r="F83" s="36"/>
      <c r="G83" s="36"/>
      <c r="H83" s="50"/>
      <c r="I83" s="50"/>
      <c r="J83" s="50"/>
      <c r="K83" s="36"/>
      <c r="L83" s="36"/>
      <c r="M83" s="36"/>
      <c r="N83" s="36"/>
      <c r="O83" s="36"/>
      <c r="P83" s="36"/>
    </row>
    <row r="84" spans="1:16">
      <c r="A84" s="49" t="s">
        <v>64</v>
      </c>
      <c r="B84" s="44">
        <v>0</v>
      </c>
      <c r="C84" s="44">
        <v>0</v>
      </c>
      <c r="D84" s="44"/>
      <c r="E84" s="36"/>
      <c r="F84" s="36"/>
      <c r="G84" s="36"/>
      <c r="H84" s="44"/>
      <c r="I84" s="44"/>
      <c r="J84" s="44"/>
      <c r="K84" s="36"/>
      <c r="L84" s="36"/>
      <c r="M84" s="36"/>
      <c r="N84" s="36"/>
      <c r="O84" s="36"/>
      <c r="P84" s="36"/>
    </row>
    <row r="85" spans="1:16">
      <c r="A85" s="49" t="s">
        <v>65</v>
      </c>
      <c r="B85" s="50">
        <v>0</v>
      </c>
      <c r="C85" s="50">
        <v>1</v>
      </c>
      <c r="D85" s="50"/>
      <c r="E85" s="36"/>
      <c r="F85" s="36"/>
      <c r="G85" s="36"/>
      <c r="H85" s="50"/>
      <c r="I85" s="50"/>
      <c r="J85" s="50"/>
      <c r="K85" s="36"/>
      <c r="L85" s="36"/>
      <c r="M85" s="36"/>
      <c r="N85" s="36"/>
      <c r="O85" s="36"/>
      <c r="P85" s="36"/>
    </row>
    <row r="86" spans="1:16">
      <c r="A86" s="49" t="s">
        <v>66</v>
      </c>
      <c r="B86" s="50">
        <v>0</v>
      </c>
      <c r="C86" s="50">
        <v>1</v>
      </c>
      <c r="D86" s="50"/>
      <c r="E86" s="36"/>
      <c r="F86" s="36"/>
      <c r="G86" s="36"/>
      <c r="H86" s="50"/>
      <c r="I86" s="50"/>
      <c r="J86" s="50"/>
      <c r="K86" s="36"/>
      <c r="L86" s="36"/>
      <c r="M86" s="36"/>
      <c r="N86" s="36"/>
      <c r="O86" s="36"/>
      <c r="P86" s="36"/>
    </row>
    <row r="87" spans="1:16">
      <c r="A87" s="39" t="s">
        <v>201</v>
      </c>
      <c r="B87" s="34"/>
      <c r="C87" s="34"/>
      <c r="D87" s="34"/>
      <c r="E87" s="37"/>
      <c r="F87" s="37"/>
      <c r="G87" s="37"/>
      <c r="K87" s="37"/>
      <c r="L87" s="37"/>
      <c r="M87" s="37"/>
      <c r="N87" s="37"/>
      <c r="O87" s="37"/>
      <c r="P87" s="37"/>
    </row>
    <row r="88" spans="1:16">
      <c r="A88" s="49" t="s">
        <v>62</v>
      </c>
      <c r="B88" s="44">
        <v>10</v>
      </c>
      <c r="C88" s="44">
        <v>0</v>
      </c>
      <c r="D88" s="44"/>
      <c r="E88" s="37"/>
      <c r="F88" s="37"/>
      <c r="G88" s="37"/>
      <c r="H88" s="44"/>
      <c r="I88" s="44"/>
      <c r="J88" s="44"/>
      <c r="K88" s="37"/>
      <c r="L88" s="37"/>
      <c r="M88" s="37"/>
      <c r="N88" s="37"/>
      <c r="O88" s="37"/>
      <c r="P88" s="37"/>
    </row>
    <row r="89" spans="1:16">
      <c r="A89" s="49" t="s">
        <v>63</v>
      </c>
      <c r="B89" s="50">
        <v>0</v>
      </c>
      <c r="C89" s="50">
        <v>0</v>
      </c>
      <c r="D89" s="50"/>
      <c r="E89" s="37"/>
      <c r="F89" s="37"/>
      <c r="G89" s="37"/>
      <c r="H89" s="50"/>
      <c r="I89" s="50"/>
      <c r="J89" s="50"/>
      <c r="K89" s="37"/>
      <c r="L89" s="37"/>
      <c r="M89" s="37"/>
      <c r="N89" s="37"/>
      <c r="O89" s="37"/>
      <c r="P89" s="37"/>
    </row>
    <row r="90" spans="1:16">
      <c r="A90" s="49" t="s">
        <v>64</v>
      </c>
      <c r="B90" s="44">
        <v>0</v>
      </c>
      <c r="C90" s="44">
        <v>0</v>
      </c>
      <c r="D90" s="44"/>
      <c r="E90" s="37"/>
      <c r="F90" s="37"/>
      <c r="G90" s="37"/>
      <c r="H90" s="44"/>
      <c r="I90" s="44"/>
      <c r="J90" s="44"/>
      <c r="K90" s="37"/>
      <c r="L90" s="37"/>
      <c r="M90" s="37"/>
      <c r="N90" s="37"/>
      <c r="O90" s="37"/>
      <c r="P90" s="37"/>
    </row>
    <row r="91" spans="1:16">
      <c r="A91" s="49" t="s">
        <v>65</v>
      </c>
      <c r="B91" s="50">
        <v>0</v>
      </c>
      <c r="C91" s="50">
        <v>1</v>
      </c>
      <c r="D91" s="50"/>
      <c r="E91" s="37"/>
      <c r="F91" s="37"/>
      <c r="G91" s="37"/>
      <c r="H91" s="50"/>
      <c r="I91" s="50"/>
      <c r="J91" s="50"/>
      <c r="K91" s="37"/>
      <c r="L91" s="37"/>
      <c r="M91" s="37"/>
      <c r="N91" s="37"/>
      <c r="O91" s="37"/>
      <c r="P91" s="37"/>
    </row>
    <row r="92" spans="1:16">
      <c r="A92" s="49" t="s">
        <v>66</v>
      </c>
      <c r="B92" s="50">
        <v>0</v>
      </c>
      <c r="C92" s="50">
        <v>1</v>
      </c>
      <c r="D92" s="50"/>
      <c r="E92" s="37"/>
      <c r="F92" s="37"/>
      <c r="G92" s="37"/>
      <c r="H92" s="50"/>
      <c r="I92" s="50"/>
      <c r="J92" s="50"/>
      <c r="K92" s="37"/>
      <c r="L92" s="37"/>
      <c r="M92" s="37"/>
      <c r="N92" s="37"/>
      <c r="O92" s="37"/>
      <c r="P92" s="37"/>
    </row>
    <row r="93" spans="1:16">
      <c r="A93" s="46" t="s">
        <v>202</v>
      </c>
      <c r="B93" s="34"/>
      <c r="C93" s="34"/>
      <c r="D93" s="34"/>
      <c r="E93" s="37"/>
      <c r="F93" s="37"/>
      <c r="G93" s="37"/>
      <c r="K93" s="37"/>
      <c r="L93" s="37"/>
      <c r="M93" s="37"/>
      <c r="N93" s="37"/>
      <c r="O93" s="37"/>
      <c r="P93" s="37"/>
    </row>
    <row r="94" spans="1:16">
      <c r="A94" s="192" t="s">
        <v>62</v>
      </c>
      <c r="B94" s="44">
        <v>0</v>
      </c>
      <c r="C94" s="44">
        <v>0</v>
      </c>
      <c r="D94" s="44"/>
      <c r="E94" s="37"/>
      <c r="F94" s="37"/>
      <c r="G94" s="37"/>
      <c r="H94" s="44"/>
      <c r="I94" s="44"/>
      <c r="J94" s="44"/>
      <c r="K94" s="37"/>
      <c r="L94" s="37"/>
      <c r="M94" s="37"/>
      <c r="N94" s="37"/>
      <c r="O94" s="37"/>
      <c r="P94" s="37"/>
    </row>
    <row r="95" spans="1:16">
      <c r="A95" s="192" t="s">
        <v>63</v>
      </c>
      <c r="B95" s="50">
        <v>0</v>
      </c>
      <c r="C95" s="50">
        <v>0</v>
      </c>
      <c r="D95" s="50"/>
      <c r="E95" s="37"/>
      <c r="F95" s="37"/>
      <c r="G95" s="37"/>
      <c r="H95" s="50"/>
      <c r="I95" s="50"/>
      <c r="J95" s="50"/>
      <c r="K95" s="37"/>
      <c r="L95" s="37"/>
      <c r="M95" s="37"/>
      <c r="N95" s="37"/>
      <c r="O95" s="37"/>
      <c r="P95" s="37"/>
    </row>
    <row r="96" spans="1:16">
      <c r="A96" s="192" t="s">
        <v>64</v>
      </c>
      <c r="B96" s="44">
        <v>0</v>
      </c>
      <c r="C96" s="44">
        <v>0</v>
      </c>
      <c r="D96" s="44"/>
      <c r="E96" s="37"/>
      <c r="F96" s="37"/>
      <c r="G96" s="37"/>
      <c r="H96" s="44"/>
      <c r="I96" s="44"/>
      <c r="J96" s="44"/>
      <c r="K96" s="37"/>
      <c r="L96" s="37"/>
      <c r="M96" s="37"/>
      <c r="N96" s="37"/>
      <c r="O96" s="37"/>
      <c r="P96" s="37"/>
    </row>
    <row r="97" spans="1:16">
      <c r="A97" s="192" t="s">
        <v>65</v>
      </c>
      <c r="B97" s="50">
        <v>0</v>
      </c>
      <c r="C97" s="50">
        <v>1</v>
      </c>
      <c r="D97" s="50"/>
      <c r="E97" s="37"/>
      <c r="F97" s="37"/>
      <c r="G97" s="37"/>
      <c r="H97" s="50"/>
      <c r="I97" s="50"/>
      <c r="J97" s="50"/>
      <c r="K97" s="37"/>
      <c r="L97" s="37"/>
      <c r="M97" s="37"/>
      <c r="N97" s="37"/>
      <c r="O97" s="37"/>
      <c r="P97" s="37"/>
    </row>
    <row r="98" spans="1:16">
      <c r="A98" s="192" t="s">
        <v>66</v>
      </c>
      <c r="B98" s="50">
        <v>1</v>
      </c>
      <c r="C98" s="50">
        <v>1</v>
      </c>
      <c r="D98" s="50"/>
      <c r="E98" s="37"/>
      <c r="F98" s="37"/>
      <c r="G98" s="37"/>
      <c r="H98" s="50"/>
      <c r="I98" s="50"/>
      <c r="J98" s="50"/>
      <c r="K98" s="37"/>
      <c r="L98" s="37"/>
      <c r="M98" s="37"/>
      <c r="N98" s="37"/>
      <c r="O98" s="37"/>
      <c r="P98" s="37"/>
    </row>
    <row r="99" spans="1:16">
      <c r="A99" s="39" t="s">
        <v>108</v>
      </c>
      <c r="B99" s="34"/>
      <c r="C99" s="34"/>
      <c r="D99" s="34"/>
      <c r="E99" s="37"/>
      <c r="F99" s="37"/>
      <c r="G99" s="37"/>
      <c r="K99" s="37"/>
      <c r="L99" s="37"/>
      <c r="M99" s="37"/>
      <c r="N99" s="37"/>
      <c r="O99" s="37"/>
      <c r="P99" s="37"/>
    </row>
    <row r="100" spans="1:16">
      <c r="A100" s="49" t="s">
        <v>62</v>
      </c>
      <c r="B100" s="44">
        <v>30</v>
      </c>
      <c r="C100" s="44">
        <v>0</v>
      </c>
      <c r="D100" s="44"/>
      <c r="E100" s="37"/>
      <c r="F100" s="37"/>
      <c r="G100" s="37"/>
      <c r="H100" s="44"/>
      <c r="I100" s="44"/>
      <c r="J100" s="44"/>
      <c r="K100" s="37"/>
      <c r="L100" s="37"/>
      <c r="M100" s="37"/>
      <c r="N100" s="37"/>
      <c r="O100" s="37"/>
      <c r="P100" s="37"/>
    </row>
    <row r="101" spans="1:16">
      <c r="A101" s="49" t="s">
        <v>63</v>
      </c>
      <c r="B101" s="50">
        <v>0</v>
      </c>
      <c r="C101" s="50">
        <v>0</v>
      </c>
      <c r="D101" s="50"/>
      <c r="E101" s="37"/>
      <c r="F101" s="37"/>
      <c r="G101" s="37"/>
      <c r="H101" s="50"/>
      <c r="I101" s="50"/>
      <c r="J101" s="50"/>
      <c r="K101" s="37"/>
      <c r="L101" s="37"/>
      <c r="M101" s="37"/>
      <c r="N101" s="37"/>
      <c r="O101" s="37"/>
      <c r="P101" s="37"/>
    </row>
    <row r="102" spans="1:16">
      <c r="A102" s="49" t="s">
        <v>64</v>
      </c>
      <c r="B102" s="44">
        <v>0</v>
      </c>
      <c r="C102" s="44">
        <v>0</v>
      </c>
      <c r="D102" s="44"/>
      <c r="E102" s="37"/>
      <c r="F102" s="37"/>
      <c r="G102" s="37"/>
      <c r="H102" s="44"/>
      <c r="I102" s="44"/>
      <c r="J102" s="44"/>
      <c r="K102" s="37"/>
      <c r="L102" s="37"/>
      <c r="M102" s="37"/>
      <c r="N102" s="37"/>
      <c r="O102" s="37"/>
      <c r="P102" s="37"/>
    </row>
    <row r="103" spans="1:16">
      <c r="A103" s="49" t="s">
        <v>65</v>
      </c>
      <c r="B103" s="50">
        <v>0</v>
      </c>
      <c r="C103" s="50">
        <v>1</v>
      </c>
      <c r="D103" s="50"/>
      <c r="E103" s="37"/>
      <c r="F103" s="37"/>
      <c r="G103" s="37"/>
      <c r="H103" s="50"/>
      <c r="I103" s="50"/>
      <c r="J103" s="50"/>
      <c r="K103" s="37"/>
      <c r="L103" s="37"/>
      <c r="M103" s="37"/>
      <c r="N103" s="37"/>
      <c r="O103" s="37"/>
      <c r="P103" s="37"/>
    </row>
    <row r="104" spans="1:16">
      <c r="A104" s="49" t="s">
        <v>66</v>
      </c>
      <c r="B104" s="50">
        <v>0</v>
      </c>
      <c r="C104" s="50">
        <v>1</v>
      </c>
      <c r="D104" s="50"/>
      <c r="E104" s="37"/>
      <c r="F104" s="37"/>
      <c r="G104" s="37"/>
      <c r="H104" s="50"/>
      <c r="I104" s="50"/>
      <c r="J104" s="50"/>
      <c r="K104" s="37"/>
      <c r="L104" s="37"/>
      <c r="M104" s="37"/>
      <c r="N104" s="37"/>
      <c r="O104" s="37"/>
      <c r="P104" s="37"/>
    </row>
    <row r="105" spans="1:16">
      <c r="A105" s="39" t="s">
        <v>109</v>
      </c>
      <c r="B105" s="34"/>
      <c r="C105" s="34"/>
      <c r="D105" s="34"/>
      <c r="E105" s="37"/>
      <c r="F105" s="37"/>
      <c r="G105" s="37"/>
      <c r="K105" s="37"/>
      <c r="L105" s="37"/>
      <c r="M105" s="37"/>
      <c r="N105" s="37"/>
      <c r="O105" s="37"/>
      <c r="P105" s="37"/>
    </row>
    <row r="106" spans="1:16">
      <c r="A106" s="49" t="s">
        <v>62</v>
      </c>
      <c r="B106" s="44">
        <v>0</v>
      </c>
      <c r="C106" s="44">
        <v>0</v>
      </c>
      <c r="D106" s="44"/>
      <c r="E106" s="37"/>
      <c r="F106" s="37"/>
      <c r="G106" s="37"/>
      <c r="H106" s="44"/>
      <c r="I106" s="44"/>
      <c r="J106" s="44"/>
      <c r="K106" s="37"/>
      <c r="L106" s="37"/>
      <c r="M106" s="37"/>
      <c r="N106" s="37"/>
      <c r="O106" s="37"/>
      <c r="P106" s="37"/>
    </row>
    <row r="107" spans="1:16">
      <c r="A107" s="49" t="s">
        <v>63</v>
      </c>
      <c r="B107" s="50">
        <v>0</v>
      </c>
      <c r="C107" s="50">
        <v>0</v>
      </c>
      <c r="D107" s="50"/>
      <c r="E107" s="37"/>
      <c r="F107" s="37"/>
      <c r="G107" s="37"/>
      <c r="H107" s="50"/>
      <c r="I107" s="50"/>
      <c r="J107" s="50"/>
      <c r="K107" s="37"/>
      <c r="L107" s="37"/>
      <c r="M107" s="37"/>
      <c r="N107" s="37"/>
      <c r="O107" s="37"/>
      <c r="P107" s="37"/>
    </row>
    <row r="108" spans="1:16">
      <c r="A108" s="49" t="s">
        <v>64</v>
      </c>
      <c r="B108" s="44">
        <v>0</v>
      </c>
      <c r="C108" s="44">
        <v>0</v>
      </c>
      <c r="D108" s="44"/>
      <c r="E108" s="37"/>
      <c r="F108" s="37"/>
      <c r="G108" s="37"/>
      <c r="H108" s="44"/>
      <c r="I108" s="44"/>
      <c r="J108" s="44"/>
      <c r="K108" s="37"/>
      <c r="L108" s="37"/>
      <c r="M108" s="37"/>
      <c r="N108" s="37"/>
      <c r="O108" s="37"/>
      <c r="P108" s="37"/>
    </row>
    <row r="109" spans="1:16">
      <c r="A109" s="49" t="s">
        <v>65</v>
      </c>
      <c r="B109" s="50">
        <v>0</v>
      </c>
      <c r="C109" s="50">
        <v>1</v>
      </c>
      <c r="D109" s="50"/>
      <c r="E109" s="37"/>
      <c r="F109" s="37"/>
      <c r="G109" s="37"/>
      <c r="H109" s="50"/>
      <c r="I109" s="50"/>
      <c r="J109" s="50"/>
      <c r="K109" s="37"/>
      <c r="L109" s="37"/>
      <c r="M109" s="37"/>
      <c r="N109" s="37"/>
      <c r="O109" s="37"/>
      <c r="P109" s="37"/>
    </row>
    <row r="110" spans="1:16">
      <c r="A110" s="49" t="s">
        <v>66</v>
      </c>
      <c r="B110" s="50">
        <v>1</v>
      </c>
      <c r="C110" s="50">
        <v>1</v>
      </c>
      <c r="D110" s="50"/>
      <c r="E110" s="37"/>
      <c r="F110" s="37"/>
      <c r="G110" s="37"/>
      <c r="H110" s="50"/>
      <c r="I110" s="50"/>
      <c r="J110" s="50"/>
      <c r="K110" s="37"/>
      <c r="L110" s="37"/>
      <c r="M110" s="37"/>
      <c r="N110" s="37"/>
      <c r="O110" s="37"/>
      <c r="P110" s="37"/>
    </row>
    <row r="111" spans="1:16">
      <c r="A111" s="46" t="s">
        <v>199</v>
      </c>
      <c r="B111" s="34"/>
      <c r="C111" s="34"/>
      <c r="D111" s="34"/>
      <c r="E111" s="37"/>
      <c r="F111" s="37"/>
      <c r="G111" s="37"/>
      <c r="H111" s="50"/>
      <c r="I111" s="50"/>
      <c r="J111" s="50"/>
      <c r="K111" s="37"/>
      <c r="L111" s="37"/>
      <c r="M111" s="37"/>
      <c r="N111" s="37"/>
      <c r="O111" s="37"/>
      <c r="P111" s="37"/>
    </row>
    <row r="112" spans="1:16">
      <c r="A112" s="192" t="s">
        <v>62</v>
      </c>
      <c r="B112" s="44">
        <v>50</v>
      </c>
      <c r="C112" s="44">
        <v>0</v>
      </c>
      <c r="D112" s="44"/>
      <c r="E112" s="37"/>
      <c r="F112" s="37"/>
      <c r="G112" s="37"/>
      <c r="H112" s="50"/>
      <c r="I112" s="50"/>
      <c r="J112" s="50"/>
      <c r="K112" s="37"/>
      <c r="L112" s="37"/>
      <c r="M112" s="37"/>
      <c r="N112" s="37"/>
      <c r="O112" s="37"/>
      <c r="P112" s="37"/>
    </row>
    <row r="113" spans="1:16">
      <c r="A113" s="192" t="s">
        <v>63</v>
      </c>
      <c r="B113" s="50">
        <v>0</v>
      </c>
      <c r="C113" s="50">
        <v>0</v>
      </c>
      <c r="D113" s="50"/>
      <c r="E113" s="37"/>
      <c r="F113" s="37"/>
      <c r="G113" s="37"/>
      <c r="H113" s="50"/>
      <c r="I113" s="50"/>
      <c r="J113" s="50"/>
      <c r="K113" s="37"/>
      <c r="L113" s="37"/>
      <c r="M113" s="37"/>
      <c r="N113" s="37"/>
      <c r="O113" s="37"/>
      <c r="P113" s="37"/>
    </row>
    <row r="114" spans="1:16">
      <c r="A114" s="192" t="s">
        <v>64</v>
      </c>
      <c r="B114" s="44">
        <v>0</v>
      </c>
      <c r="C114" s="44">
        <v>0</v>
      </c>
      <c r="D114" s="44"/>
      <c r="E114" s="37"/>
      <c r="F114" s="37"/>
      <c r="G114" s="37"/>
      <c r="H114" s="50"/>
      <c r="I114" s="50"/>
      <c r="J114" s="50"/>
      <c r="K114" s="37"/>
      <c r="L114" s="37"/>
      <c r="M114" s="37"/>
      <c r="N114" s="37"/>
      <c r="O114" s="37"/>
      <c r="P114" s="37"/>
    </row>
    <row r="115" spans="1:16">
      <c r="A115" s="192" t="s">
        <v>65</v>
      </c>
      <c r="B115" s="50">
        <v>0</v>
      </c>
      <c r="C115" s="50">
        <v>1</v>
      </c>
      <c r="D115" s="50"/>
      <c r="E115" s="37"/>
      <c r="F115" s="37"/>
      <c r="G115" s="37"/>
      <c r="H115" s="50"/>
      <c r="I115" s="50"/>
      <c r="J115" s="50"/>
      <c r="K115" s="37"/>
      <c r="L115" s="37"/>
      <c r="M115" s="37"/>
      <c r="N115" s="37"/>
      <c r="O115" s="37"/>
      <c r="P115" s="37"/>
    </row>
    <row r="116" spans="1:16">
      <c r="A116" s="192" t="s">
        <v>66</v>
      </c>
      <c r="B116" s="50">
        <v>0</v>
      </c>
      <c r="C116" s="50">
        <v>1</v>
      </c>
      <c r="D116" s="50"/>
      <c r="E116" s="37"/>
      <c r="F116" s="37"/>
      <c r="G116" s="37"/>
      <c r="H116" s="50"/>
      <c r="I116" s="50"/>
      <c r="J116" s="50"/>
      <c r="K116" s="37"/>
      <c r="L116" s="37"/>
      <c r="M116" s="37"/>
      <c r="N116" s="37"/>
      <c r="O116" s="37"/>
      <c r="P116" s="37"/>
    </row>
    <row r="117" spans="1:16">
      <c r="A117" s="46" t="s">
        <v>200</v>
      </c>
      <c r="B117" s="34"/>
      <c r="C117" s="34"/>
      <c r="D117" s="34"/>
      <c r="E117" s="37"/>
      <c r="F117" s="37"/>
      <c r="G117" s="37"/>
      <c r="H117" s="50"/>
      <c r="I117" s="50"/>
      <c r="J117" s="50"/>
      <c r="K117" s="37"/>
      <c r="L117" s="37"/>
      <c r="M117" s="37"/>
      <c r="N117" s="37"/>
      <c r="O117" s="37"/>
      <c r="P117" s="37"/>
    </row>
    <row r="118" spans="1:16">
      <c r="A118" s="192" t="s">
        <v>62</v>
      </c>
      <c r="B118" s="44">
        <v>0</v>
      </c>
      <c r="C118" s="44">
        <v>0</v>
      </c>
      <c r="D118" s="44"/>
      <c r="E118" s="37"/>
      <c r="F118" s="37"/>
      <c r="G118" s="37"/>
      <c r="H118" s="50"/>
      <c r="I118" s="50"/>
      <c r="J118" s="50"/>
      <c r="K118" s="37"/>
      <c r="L118" s="37"/>
      <c r="M118" s="37"/>
      <c r="N118" s="37"/>
      <c r="O118" s="37"/>
      <c r="P118" s="37"/>
    </row>
    <row r="119" spans="1:16">
      <c r="A119" s="192" t="s">
        <v>63</v>
      </c>
      <c r="B119" s="50">
        <v>0</v>
      </c>
      <c r="C119" s="50">
        <v>0</v>
      </c>
      <c r="D119" s="50"/>
      <c r="E119" s="37"/>
      <c r="F119" s="37"/>
      <c r="G119" s="37"/>
      <c r="H119" s="50"/>
      <c r="I119" s="50"/>
      <c r="J119" s="50"/>
      <c r="K119" s="37"/>
      <c r="L119" s="37"/>
      <c r="M119" s="37"/>
      <c r="N119" s="37"/>
      <c r="O119" s="37"/>
      <c r="P119" s="37"/>
    </row>
    <row r="120" spans="1:16">
      <c r="A120" s="192" t="s">
        <v>64</v>
      </c>
      <c r="B120" s="44">
        <v>0</v>
      </c>
      <c r="C120" s="44">
        <v>0</v>
      </c>
      <c r="D120" s="44"/>
      <c r="E120" s="37"/>
      <c r="F120" s="37"/>
      <c r="G120" s="37"/>
      <c r="H120" s="50"/>
      <c r="I120" s="50"/>
      <c r="J120" s="50"/>
      <c r="K120" s="37"/>
      <c r="L120" s="37"/>
      <c r="M120" s="37"/>
      <c r="N120" s="37"/>
      <c r="O120" s="37"/>
      <c r="P120" s="37"/>
    </row>
    <row r="121" spans="1:16">
      <c r="A121" s="192" t="s">
        <v>65</v>
      </c>
      <c r="B121" s="50">
        <v>0</v>
      </c>
      <c r="C121" s="50">
        <v>1</v>
      </c>
      <c r="D121" s="50"/>
      <c r="E121" s="37"/>
      <c r="F121" s="37"/>
      <c r="G121" s="37"/>
      <c r="H121" s="50"/>
      <c r="I121" s="50"/>
      <c r="J121" s="50"/>
      <c r="K121" s="37"/>
      <c r="L121" s="37"/>
      <c r="M121" s="37"/>
      <c r="N121" s="37"/>
      <c r="O121" s="37"/>
      <c r="P121" s="37"/>
    </row>
    <row r="122" spans="1:16">
      <c r="A122" s="192" t="s">
        <v>66</v>
      </c>
      <c r="B122" s="50">
        <v>1</v>
      </c>
      <c r="C122" s="50">
        <v>1</v>
      </c>
      <c r="D122" s="50"/>
      <c r="E122" s="37"/>
      <c r="F122" s="37"/>
      <c r="G122" s="37"/>
      <c r="H122" s="50"/>
      <c r="I122" s="50"/>
      <c r="J122" s="50"/>
      <c r="K122" s="37"/>
      <c r="L122" s="37"/>
      <c r="M122" s="37"/>
      <c r="N122" s="37"/>
      <c r="O122" s="37"/>
      <c r="P122" s="37"/>
    </row>
    <row r="123" spans="1:16">
      <c r="A123" s="39" t="s">
        <v>203</v>
      </c>
      <c r="B123" s="34"/>
      <c r="C123" s="34"/>
      <c r="D123" s="34"/>
      <c r="E123" s="36"/>
      <c r="F123" s="36"/>
      <c r="G123" s="36"/>
      <c r="K123" s="36"/>
      <c r="L123" s="36"/>
      <c r="M123" s="36"/>
      <c r="N123" s="36"/>
      <c r="O123" s="36"/>
      <c r="P123" s="36"/>
    </row>
    <row r="124" spans="1:16">
      <c r="A124" s="49" t="s">
        <v>62</v>
      </c>
      <c r="B124" s="54">
        <v>25</v>
      </c>
      <c r="C124" s="54">
        <v>0</v>
      </c>
      <c r="D124" s="54"/>
      <c r="E124" s="36"/>
      <c r="F124" s="36"/>
      <c r="G124" s="36"/>
      <c r="H124" s="44"/>
      <c r="I124" s="44"/>
      <c r="J124" s="44"/>
      <c r="K124" s="36"/>
      <c r="L124" s="36"/>
      <c r="M124" s="36"/>
      <c r="N124" s="36"/>
      <c r="O124" s="36"/>
      <c r="P124" s="36"/>
    </row>
    <row r="125" spans="1:16">
      <c r="A125" s="49" t="s">
        <v>63</v>
      </c>
      <c r="B125" s="50">
        <v>0</v>
      </c>
      <c r="C125" s="50">
        <v>0</v>
      </c>
      <c r="D125" s="50"/>
      <c r="E125" s="36"/>
      <c r="F125" s="36"/>
      <c r="G125" s="36"/>
      <c r="H125" s="50"/>
      <c r="I125" s="50"/>
      <c r="J125" s="50"/>
      <c r="K125" s="36"/>
      <c r="L125" s="36"/>
      <c r="M125" s="36"/>
      <c r="N125" s="36"/>
      <c r="O125" s="36"/>
      <c r="P125" s="36"/>
    </row>
    <row r="126" spans="1:16">
      <c r="A126" s="49" t="s">
        <v>64</v>
      </c>
      <c r="B126" s="44">
        <v>0</v>
      </c>
      <c r="C126" s="44">
        <v>0</v>
      </c>
      <c r="D126" s="44"/>
      <c r="E126" s="36"/>
      <c r="F126" s="36"/>
      <c r="G126" s="36"/>
      <c r="H126" s="44"/>
      <c r="I126" s="44"/>
      <c r="J126" s="44"/>
      <c r="K126" s="36"/>
      <c r="L126" s="36"/>
      <c r="M126" s="36"/>
      <c r="N126" s="36"/>
      <c r="O126" s="36"/>
      <c r="P126" s="36"/>
    </row>
    <row r="127" spans="1:16">
      <c r="A127" s="49" t="s">
        <v>65</v>
      </c>
      <c r="B127" s="50">
        <v>0</v>
      </c>
      <c r="C127" s="50">
        <v>1</v>
      </c>
      <c r="D127" s="50"/>
      <c r="E127" s="36"/>
      <c r="F127" s="36"/>
      <c r="G127" s="36"/>
      <c r="H127" s="50"/>
      <c r="I127" s="50"/>
      <c r="J127" s="50"/>
      <c r="K127" s="36"/>
      <c r="L127" s="36"/>
      <c r="M127" s="36"/>
      <c r="N127" s="36"/>
      <c r="O127" s="36"/>
      <c r="P127" s="36"/>
    </row>
    <row r="128" spans="1:16">
      <c r="A128" s="49" t="s">
        <v>66</v>
      </c>
      <c r="B128" s="50">
        <v>0</v>
      </c>
      <c r="C128" s="50">
        <v>1</v>
      </c>
      <c r="D128" s="50"/>
      <c r="E128" s="36"/>
      <c r="F128" s="36"/>
      <c r="G128" s="36"/>
      <c r="H128" s="50"/>
      <c r="I128" s="50"/>
      <c r="J128" s="50"/>
      <c r="K128" s="36"/>
      <c r="L128" s="36"/>
      <c r="M128" s="36"/>
      <c r="N128" s="36"/>
      <c r="O128" s="36"/>
      <c r="P128" s="36"/>
    </row>
    <row r="129" spans="1:16">
      <c r="A129" s="46" t="s">
        <v>204</v>
      </c>
      <c r="B129" s="34"/>
      <c r="C129" s="34"/>
      <c r="D129" s="34"/>
      <c r="E129" s="36"/>
      <c r="F129" s="36"/>
      <c r="G129" s="36"/>
      <c r="H129" s="50"/>
      <c r="I129" s="50"/>
      <c r="J129" s="50"/>
      <c r="K129" s="36"/>
      <c r="L129" s="36"/>
      <c r="M129" s="36"/>
      <c r="N129" s="36"/>
      <c r="O129" s="36"/>
      <c r="P129" s="36"/>
    </row>
    <row r="130" spans="1:16">
      <c r="A130" s="192" t="s">
        <v>62</v>
      </c>
      <c r="B130" s="54">
        <v>0</v>
      </c>
      <c r="C130" s="54">
        <v>0</v>
      </c>
      <c r="D130" s="54"/>
      <c r="E130" s="36"/>
      <c r="F130" s="36"/>
      <c r="G130" s="36"/>
      <c r="H130" s="50"/>
      <c r="I130" s="50"/>
      <c r="J130" s="50"/>
      <c r="K130" s="36"/>
      <c r="L130" s="36"/>
      <c r="M130" s="36"/>
      <c r="N130" s="36"/>
      <c r="O130" s="36"/>
      <c r="P130" s="36"/>
    </row>
    <row r="131" spans="1:16">
      <c r="A131" s="192" t="s">
        <v>63</v>
      </c>
      <c r="B131" s="50">
        <v>0</v>
      </c>
      <c r="C131" s="50">
        <v>0</v>
      </c>
      <c r="D131" s="50"/>
      <c r="E131" s="36"/>
      <c r="F131" s="36"/>
      <c r="G131" s="36"/>
      <c r="H131" s="50"/>
      <c r="I131" s="50"/>
      <c r="J131" s="50"/>
      <c r="K131" s="36"/>
      <c r="L131" s="36"/>
      <c r="M131" s="36"/>
      <c r="N131" s="36"/>
      <c r="O131" s="36"/>
      <c r="P131" s="36"/>
    </row>
    <row r="132" spans="1:16">
      <c r="A132" s="192" t="s">
        <v>64</v>
      </c>
      <c r="B132" s="44">
        <v>0</v>
      </c>
      <c r="C132" s="44">
        <v>0</v>
      </c>
      <c r="D132" s="44"/>
      <c r="E132" s="36"/>
      <c r="F132" s="36"/>
      <c r="G132" s="36"/>
      <c r="H132" s="50"/>
      <c r="I132" s="50"/>
      <c r="J132" s="50"/>
      <c r="K132" s="36"/>
      <c r="L132" s="36"/>
      <c r="M132" s="36"/>
      <c r="N132" s="36"/>
      <c r="O132" s="36"/>
      <c r="P132" s="36"/>
    </row>
    <row r="133" spans="1:16">
      <c r="A133" s="192" t="s">
        <v>65</v>
      </c>
      <c r="B133" s="50">
        <v>0</v>
      </c>
      <c r="C133" s="50">
        <v>1</v>
      </c>
      <c r="D133" s="50"/>
      <c r="E133" s="36"/>
      <c r="F133" s="36"/>
      <c r="G133" s="36"/>
      <c r="H133" s="50"/>
      <c r="I133" s="50"/>
      <c r="J133" s="50"/>
      <c r="K133" s="36"/>
      <c r="L133" s="36"/>
      <c r="M133" s="36"/>
      <c r="N133" s="36"/>
      <c r="O133" s="36"/>
      <c r="P133" s="36"/>
    </row>
    <row r="134" spans="1:16">
      <c r="A134" s="192" t="s">
        <v>66</v>
      </c>
      <c r="B134" s="50">
        <v>1</v>
      </c>
      <c r="C134" s="50">
        <v>1</v>
      </c>
      <c r="D134" s="50"/>
      <c r="E134" s="36"/>
      <c r="F134" s="36"/>
      <c r="G134" s="36"/>
      <c r="H134" s="50"/>
      <c r="I134" s="50"/>
      <c r="J134" s="50"/>
      <c r="K134" s="36"/>
      <c r="L134" s="36"/>
      <c r="M134" s="36"/>
      <c r="N134" s="36"/>
      <c r="O134" s="36"/>
      <c r="P134" s="36"/>
    </row>
    <row r="135" spans="1:16">
      <c r="A135" s="39" t="s">
        <v>110</v>
      </c>
      <c r="E135" s="36"/>
      <c r="F135" s="36"/>
      <c r="G135" s="36"/>
      <c r="K135" s="36"/>
      <c r="L135" s="36"/>
      <c r="M135" s="36"/>
      <c r="N135" s="36"/>
      <c r="O135" s="36"/>
      <c r="P135" s="36"/>
    </row>
    <row r="136" spans="1:16">
      <c r="A136" s="49" t="s">
        <v>62</v>
      </c>
      <c r="B136" s="44">
        <v>75</v>
      </c>
      <c r="C136" s="44">
        <v>0</v>
      </c>
      <c r="D136" s="44"/>
      <c r="E136" s="36"/>
      <c r="F136" s="36"/>
      <c r="G136" s="36"/>
      <c r="H136" s="44"/>
      <c r="I136" s="44"/>
      <c r="J136" s="44"/>
      <c r="K136" s="36"/>
      <c r="L136" s="36"/>
      <c r="M136" s="36"/>
      <c r="N136" s="36"/>
      <c r="O136" s="36"/>
      <c r="P136" s="36"/>
    </row>
    <row r="137" spans="1:16">
      <c r="A137" s="49" t="s">
        <v>63</v>
      </c>
      <c r="B137" s="50">
        <v>0</v>
      </c>
      <c r="C137" s="50">
        <v>0</v>
      </c>
      <c r="D137" s="50"/>
      <c r="E137" s="36"/>
      <c r="F137" s="36"/>
      <c r="G137" s="36"/>
      <c r="H137" s="50"/>
      <c r="I137" s="50"/>
      <c r="J137" s="50"/>
      <c r="K137" s="36"/>
      <c r="L137" s="36"/>
      <c r="M137" s="36"/>
      <c r="N137" s="36"/>
      <c r="O137" s="36"/>
      <c r="P137" s="36"/>
    </row>
    <row r="138" spans="1:16">
      <c r="A138" s="49" t="s">
        <v>64</v>
      </c>
      <c r="B138" s="44">
        <v>0</v>
      </c>
      <c r="C138" s="44">
        <v>0</v>
      </c>
      <c r="D138" s="44"/>
      <c r="E138" s="36"/>
      <c r="F138" s="36"/>
      <c r="G138" s="36"/>
      <c r="H138" s="44"/>
      <c r="I138" s="44"/>
      <c r="J138" s="44"/>
      <c r="K138" s="36"/>
      <c r="L138" s="36"/>
      <c r="M138" s="36"/>
      <c r="N138" s="36"/>
      <c r="O138" s="36"/>
      <c r="P138" s="36"/>
    </row>
    <row r="139" spans="1:16">
      <c r="A139" s="49" t="s">
        <v>65</v>
      </c>
      <c r="B139" s="50">
        <v>0</v>
      </c>
      <c r="C139" s="50">
        <v>1</v>
      </c>
      <c r="D139" s="50"/>
      <c r="E139" s="36"/>
      <c r="F139" s="36"/>
      <c r="G139" s="36"/>
      <c r="H139" s="50"/>
      <c r="I139" s="50"/>
      <c r="J139" s="50"/>
      <c r="K139" s="36"/>
      <c r="L139" s="36"/>
      <c r="M139" s="36"/>
      <c r="N139" s="36"/>
      <c r="O139" s="36"/>
      <c r="P139" s="36"/>
    </row>
    <row r="140" spans="1:16">
      <c r="A140" s="49" t="s">
        <v>66</v>
      </c>
      <c r="B140" s="50">
        <v>0</v>
      </c>
      <c r="C140" s="50">
        <v>1</v>
      </c>
      <c r="D140" s="50"/>
      <c r="E140" s="36"/>
      <c r="F140" s="36"/>
      <c r="G140" s="36"/>
      <c r="H140" s="50"/>
      <c r="I140" s="50"/>
      <c r="J140" s="50"/>
      <c r="K140" s="36"/>
      <c r="L140" s="36"/>
      <c r="M140" s="36"/>
      <c r="N140" s="36"/>
      <c r="O140" s="36"/>
      <c r="P140" s="36"/>
    </row>
    <row r="141" spans="1:16">
      <c r="A141" s="39" t="s">
        <v>111</v>
      </c>
      <c r="E141" s="36"/>
      <c r="F141" s="36"/>
      <c r="G141" s="36"/>
      <c r="K141" s="36"/>
      <c r="L141" s="36"/>
      <c r="M141" s="36"/>
      <c r="N141" s="36"/>
      <c r="O141" s="36"/>
      <c r="P141" s="36"/>
    </row>
    <row r="142" spans="1:16">
      <c r="A142" s="49" t="s">
        <v>62</v>
      </c>
      <c r="B142" s="44">
        <v>0</v>
      </c>
      <c r="C142" s="44">
        <v>0</v>
      </c>
      <c r="D142" s="44"/>
      <c r="E142" s="36"/>
      <c r="F142" s="36"/>
      <c r="G142" s="36"/>
      <c r="H142" s="44"/>
      <c r="I142" s="44"/>
      <c r="J142" s="44"/>
      <c r="K142" s="36"/>
      <c r="L142" s="36"/>
      <c r="M142" s="36"/>
      <c r="N142" s="36"/>
      <c r="O142" s="36"/>
      <c r="P142" s="36"/>
    </row>
    <row r="143" spans="1:16">
      <c r="A143" s="49" t="s">
        <v>63</v>
      </c>
      <c r="B143" s="50">
        <v>0</v>
      </c>
      <c r="C143" s="50">
        <v>0</v>
      </c>
      <c r="D143" s="50"/>
      <c r="E143" s="36"/>
      <c r="F143" s="36"/>
      <c r="G143" s="36"/>
      <c r="H143" s="50"/>
      <c r="I143" s="50"/>
      <c r="J143" s="50"/>
      <c r="K143" s="36"/>
      <c r="L143" s="36"/>
      <c r="M143" s="36"/>
      <c r="N143" s="36"/>
      <c r="O143" s="36"/>
      <c r="P143" s="36"/>
    </row>
    <row r="144" spans="1:16">
      <c r="A144" s="49" t="s">
        <v>64</v>
      </c>
      <c r="B144" s="44">
        <v>0</v>
      </c>
      <c r="C144" s="44">
        <v>0</v>
      </c>
      <c r="D144" s="44"/>
      <c r="E144" s="36"/>
      <c r="F144" s="36"/>
      <c r="G144" s="36"/>
      <c r="H144" s="44"/>
      <c r="I144" s="44"/>
      <c r="J144" s="44"/>
      <c r="K144" s="36"/>
      <c r="L144" s="36"/>
      <c r="M144" s="36"/>
      <c r="N144" s="36"/>
      <c r="O144" s="36"/>
      <c r="P144" s="36"/>
    </row>
    <row r="145" spans="1:16">
      <c r="A145" s="49" t="s">
        <v>65</v>
      </c>
      <c r="B145" s="50">
        <v>0</v>
      </c>
      <c r="C145" s="50">
        <v>1</v>
      </c>
      <c r="D145" s="50"/>
      <c r="E145" s="36"/>
      <c r="F145" s="36"/>
      <c r="G145" s="36"/>
      <c r="H145" s="50"/>
      <c r="I145" s="50"/>
      <c r="J145" s="50"/>
      <c r="K145" s="36"/>
      <c r="L145" s="36"/>
      <c r="M145" s="36"/>
      <c r="N145" s="36"/>
      <c r="O145" s="36"/>
      <c r="P145" s="36"/>
    </row>
    <row r="146" spans="1:16">
      <c r="A146" s="49" t="s">
        <v>66</v>
      </c>
      <c r="B146" s="50">
        <v>1</v>
      </c>
      <c r="C146" s="50">
        <v>1</v>
      </c>
      <c r="D146" s="50"/>
      <c r="E146" s="36"/>
      <c r="F146" s="36"/>
      <c r="G146" s="36"/>
      <c r="H146" s="50"/>
      <c r="I146" s="50"/>
      <c r="J146" s="50"/>
      <c r="K146" s="36"/>
      <c r="L146" s="36"/>
      <c r="M146" s="36"/>
      <c r="N146" s="36"/>
      <c r="O146" s="36"/>
      <c r="P146" s="36"/>
    </row>
    <row r="147" spans="1:16">
      <c r="A147" s="39" t="s">
        <v>112</v>
      </c>
      <c r="E147" s="36"/>
      <c r="F147" s="36"/>
      <c r="G147" s="36"/>
      <c r="K147" s="36"/>
      <c r="L147" s="36"/>
      <c r="M147" s="36"/>
      <c r="N147" s="36"/>
      <c r="O147" s="36"/>
      <c r="P147" s="36"/>
    </row>
    <row r="148" spans="1:16">
      <c r="A148" s="49" t="s">
        <v>62</v>
      </c>
      <c r="B148" s="44">
        <v>0</v>
      </c>
      <c r="C148" s="44">
        <v>0</v>
      </c>
      <c r="D148" s="44"/>
      <c r="E148" s="36"/>
      <c r="F148" s="36"/>
      <c r="G148" s="36"/>
      <c r="H148" s="44"/>
      <c r="I148" s="44"/>
      <c r="J148" s="44"/>
      <c r="K148" s="36"/>
      <c r="L148" s="36"/>
      <c r="M148" s="36"/>
      <c r="N148" s="36"/>
      <c r="O148" s="36"/>
      <c r="P148" s="36"/>
    </row>
    <row r="149" spans="1:16">
      <c r="A149" s="49" t="s">
        <v>63</v>
      </c>
      <c r="B149" s="50">
        <v>0</v>
      </c>
      <c r="C149" s="50">
        <v>0</v>
      </c>
      <c r="D149" s="50"/>
      <c r="E149" s="36"/>
      <c r="F149" s="36"/>
      <c r="G149" s="36"/>
      <c r="H149" s="50"/>
      <c r="I149" s="50"/>
      <c r="J149" s="50"/>
      <c r="K149" s="36"/>
      <c r="L149" s="36"/>
      <c r="M149" s="36"/>
      <c r="N149" s="36"/>
      <c r="O149" s="36"/>
      <c r="P149" s="36"/>
    </row>
    <row r="150" spans="1:16">
      <c r="A150" s="49" t="s">
        <v>64</v>
      </c>
      <c r="B150" s="44">
        <v>0</v>
      </c>
      <c r="C150" s="44">
        <v>0</v>
      </c>
      <c r="D150" s="44"/>
      <c r="E150" s="36"/>
      <c r="F150" s="36"/>
      <c r="G150" s="36"/>
      <c r="H150" s="44"/>
      <c r="I150" s="44"/>
      <c r="J150" s="44"/>
      <c r="K150" s="36"/>
      <c r="L150" s="36"/>
      <c r="M150" s="36"/>
      <c r="N150" s="36"/>
      <c r="O150" s="36"/>
      <c r="P150" s="36"/>
    </row>
    <row r="151" spans="1:16">
      <c r="A151" s="49" t="s">
        <v>65</v>
      </c>
      <c r="B151" s="50">
        <v>1</v>
      </c>
      <c r="C151" s="50">
        <v>1</v>
      </c>
      <c r="D151" s="50"/>
      <c r="E151" s="36"/>
      <c r="F151" s="36"/>
      <c r="G151" s="36"/>
      <c r="H151" s="50"/>
      <c r="I151" s="50"/>
      <c r="J151" s="50"/>
      <c r="K151" s="36"/>
      <c r="L151" s="36"/>
      <c r="M151" s="36"/>
      <c r="N151" s="36"/>
      <c r="O151" s="36"/>
      <c r="P151" s="36"/>
    </row>
    <row r="152" spans="1:16">
      <c r="A152" s="49" t="s">
        <v>66</v>
      </c>
      <c r="B152" s="50">
        <v>1</v>
      </c>
      <c r="C152" s="50">
        <v>1</v>
      </c>
      <c r="D152" s="50"/>
      <c r="E152" s="36"/>
      <c r="F152" s="36"/>
      <c r="G152" s="36"/>
      <c r="H152" s="50"/>
      <c r="I152" s="50"/>
      <c r="J152" s="50"/>
      <c r="K152" s="36"/>
      <c r="L152" s="36"/>
      <c r="M152" s="36"/>
      <c r="N152" s="36"/>
      <c r="O152" s="36"/>
      <c r="P152" s="36"/>
    </row>
    <row r="153" spans="1:16">
      <c r="A153" s="39" t="s">
        <v>24</v>
      </c>
      <c r="E153" s="36"/>
      <c r="F153" s="36"/>
      <c r="G153" s="36"/>
      <c r="K153" s="36"/>
      <c r="L153" s="36"/>
      <c r="M153" s="36"/>
      <c r="N153" s="36"/>
      <c r="O153" s="36"/>
      <c r="P153" s="36"/>
    </row>
    <row r="154" spans="1:16">
      <c r="A154" s="49" t="s">
        <v>62</v>
      </c>
      <c r="B154" s="44">
        <v>0</v>
      </c>
      <c r="C154" s="44">
        <v>0</v>
      </c>
      <c r="D154" s="44"/>
      <c r="E154" s="36"/>
      <c r="F154" s="36"/>
      <c r="G154" s="36"/>
      <c r="H154" s="44"/>
      <c r="I154" s="44"/>
      <c r="J154" s="44"/>
      <c r="K154" s="36"/>
      <c r="L154" s="36"/>
      <c r="M154" s="36"/>
      <c r="N154" s="36"/>
      <c r="O154" s="36"/>
      <c r="P154" s="36"/>
    </row>
    <row r="155" spans="1:16">
      <c r="A155" s="49" t="s">
        <v>63</v>
      </c>
      <c r="B155" s="50">
        <v>0</v>
      </c>
      <c r="C155" s="50">
        <v>0</v>
      </c>
      <c r="D155" s="50"/>
      <c r="E155" s="36"/>
      <c r="F155" s="36"/>
      <c r="G155" s="36"/>
      <c r="H155" s="50"/>
      <c r="I155" s="50"/>
      <c r="J155" s="50"/>
      <c r="K155" s="36"/>
      <c r="L155" s="36"/>
      <c r="M155" s="36"/>
      <c r="N155" s="36"/>
      <c r="O155" s="36"/>
      <c r="P155" s="36"/>
    </row>
    <row r="156" spans="1:16">
      <c r="A156" s="49" t="s">
        <v>64</v>
      </c>
      <c r="B156" s="44">
        <v>0</v>
      </c>
      <c r="C156" s="44">
        <v>0</v>
      </c>
      <c r="D156" s="44"/>
      <c r="E156" s="36"/>
      <c r="F156" s="36"/>
      <c r="G156" s="36"/>
      <c r="H156" s="44"/>
      <c r="I156" s="44"/>
      <c r="J156" s="44"/>
      <c r="K156" s="36"/>
      <c r="L156" s="36"/>
      <c r="M156" s="36"/>
      <c r="N156" s="36"/>
      <c r="O156" s="36"/>
      <c r="P156" s="36"/>
    </row>
    <row r="157" spans="1:16">
      <c r="A157" s="49" t="s">
        <v>65</v>
      </c>
      <c r="B157" s="50">
        <v>1</v>
      </c>
      <c r="C157" s="50">
        <v>1</v>
      </c>
      <c r="D157" s="50"/>
      <c r="E157" s="36"/>
      <c r="F157" s="36"/>
      <c r="G157" s="36"/>
      <c r="H157" s="50"/>
      <c r="I157" s="50"/>
      <c r="J157" s="50"/>
      <c r="K157" s="36"/>
      <c r="L157" s="36"/>
      <c r="M157" s="36"/>
      <c r="N157" s="36"/>
      <c r="O157" s="36"/>
      <c r="P157" s="36"/>
    </row>
    <row r="158" spans="1:16">
      <c r="A158" s="49" t="s">
        <v>66</v>
      </c>
      <c r="B158" s="50">
        <v>1</v>
      </c>
      <c r="C158" s="50">
        <v>1</v>
      </c>
      <c r="D158" s="50"/>
      <c r="E158" s="36"/>
      <c r="F158" s="36"/>
      <c r="G158" s="36"/>
      <c r="H158" s="50"/>
      <c r="I158" s="50"/>
      <c r="J158" s="50"/>
      <c r="K158" s="36"/>
      <c r="L158" s="36"/>
      <c r="M158" s="36"/>
      <c r="N158" s="36"/>
      <c r="O158" s="36"/>
      <c r="P158" s="36"/>
    </row>
    <row r="159" spans="1:16">
      <c r="A159" s="39" t="s">
        <v>116</v>
      </c>
      <c r="E159" s="36"/>
      <c r="F159" s="36"/>
      <c r="G159" s="36"/>
      <c r="K159" s="36"/>
      <c r="L159" s="36"/>
      <c r="M159" s="36"/>
      <c r="N159" s="36"/>
      <c r="O159" s="36"/>
      <c r="P159" s="36"/>
    </row>
    <row r="160" spans="1:16">
      <c r="A160" s="49" t="s">
        <v>62</v>
      </c>
      <c r="B160" s="44">
        <v>0</v>
      </c>
      <c r="C160" s="44">
        <v>0</v>
      </c>
      <c r="D160" s="44"/>
      <c r="E160" s="36"/>
      <c r="F160" s="36"/>
      <c r="G160" s="36"/>
      <c r="H160" s="44"/>
      <c r="I160" s="44"/>
      <c r="J160" s="44"/>
      <c r="K160" s="36"/>
      <c r="L160" s="36"/>
      <c r="M160" s="36"/>
      <c r="N160" s="36"/>
      <c r="O160" s="36"/>
      <c r="P160" s="36"/>
    </row>
    <row r="161" spans="1:16">
      <c r="A161" s="49" t="s">
        <v>63</v>
      </c>
      <c r="B161" s="50">
        <v>0</v>
      </c>
      <c r="C161" s="50">
        <v>0</v>
      </c>
      <c r="D161" s="50"/>
      <c r="E161" s="36"/>
      <c r="F161" s="36"/>
      <c r="G161" s="36"/>
      <c r="H161" s="50"/>
      <c r="I161" s="50"/>
      <c r="J161" s="50"/>
      <c r="K161" s="36"/>
      <c r="L161" s="36"/>
      <c r="M161" s="36"/>
      <c r="N161" s="36"/>
      <c r="O161" s="36"/>
      <c r="P161" s="36"/>
    </row>
    <row r="162" spans="1:16">
      <c r="A162" s="49" t="s">
        <v>64</v>
      </c>
      <c r="B162" s="44">
        <v>0</v>
      </c>
      <c r="C162" s="44">
        <v>0</v>
      </c>
      <c r="D162" s="44"/>
      <c r="E162" s="36"/>
      <c r="F162" s="36"/>
      <c r="G162" s="36"/>
      <c r="H162" s="44"/>
      <c r="I162" s="44"/>
      <c r="J162" s="44"/>
      <c r="K162" s="36"/>
      <c r="L162" s="36"/>
      <c r="M162" s="36"/>
      <c r="N162" s="36"/>
      <c r="O162" s="36"/>
      <c r="P162" s="36"/>
    </row>
    <row r="163" spans="1:16">
      <c r="A163" s="49" t="s">
        <v>65</v>
      </c>
      <c r="B163" s="50">
        <v>1</v>
      </c>
      <c r="C163" s="50">
        <v>1</v>
      </c>
      <c r="D163" s="50"/>
      <c r="E163" s="36"/>
      <c r="F163" s="36"/>
      <c r="G163" s="36"/>
      <c r="H163" s="50"/>
      <c r="I163" s="50"/>
      <c r="J163" s="50"/>
      <c r="K163" s="36"/>
      <c r="L163" s="36"/>
      <c r="M163" s="36"/>
      <c r="N163" s="36"/>
      <c r="O163" s="36"/>
      <c r="P163" s="36"/>
    </row>
    <row r="164" spans="1:16">
      <c r="A164" s="49" t="s">
        <v>66</v>
      </c>
      <c r="B164" s="50">
        <v>1</v>
      </c>
      <c r="C164" s="50">
        <v>1</v>
      </c>
      <c r="D164" s="50"/>
      <c r="E164" s="36"/>
      <c r="F164" s="36"/>
      <c r="G164" s="36"/>
      <c r="H164" s="50"/>
      <c r="I164" s="50"/>
      <c r="J164" s="50"/>
      <c r="K164" s="36"/>
      <c r="L164" s="36"/>
      <c r="M164" s="36"/>
      <c r="N164" s="36"/>
      <c r="O164" s="36"/>
      <c r="P164" s="36"/>
    </row>
    <row r="165" spans="1:16">
      <c r="A165" s="39" t="s">
        <v>113</v>
      </c>
      <c r="E165" s="36"/>
      <c r="F165" s="36"/>
      <c r="G165" s="36"/>
      <c r="K165" s="36"/>
      <c r="L165" s="36"/>
      <c r="M165" s="36"/>
      <c r="N165" s="36"/>
      <c r="O165" s="36"/>
      <c r="P165" s="36"/>
    </row>
    <row r="166" spans="1:16">
      <c r="A166" s="49" t="s">
        <v>62</v>
      </c>
      <c r="B166" s="44">
        <v>0</v>
      </c>
      <c r="C166" s="44">
        <v>0</v>
      </c>
      <c r="D166" s="44"/>
      <c r="E166" s="36"/>
      <c r="F166" s="36"/>
      <c r="G166" s="36"/>
      <c r="H166" s="44"/>
      <c r="I166" s="44"/>
      <c r="J166" s="44"/>
      <c r="K166" s="36"/>
      <c r="L166" s="36"/>
      <c r="M166" s="36"/>
      <c r="N166" s="36"/>
      <c r="O166" s="36"/>
      <c r="P166" s="36"/>
    </row>
    <row r="167" spans="1:16">
      <c r="A167" s="49" t="s">
        <v>63</v>
      </c>
      <c r="B167" s="50">
        <v>0</v>
      </c>
      <c r="C167" s="50">
        <v>0</v>
      </c>
      <c r="D167" s="50"/>
      <c r="E167" s="36"/>
      <c r="F167" s="36"/>
      <c r="G167" s="36"/>
      <c r="H167" s="50"/>
      <c r="I167" s="50"/>
      <c r="J167" s="50"/>
      <c r="K167" s="36"/>
      <c r="L167" s="36"/>
      <c r="M167" s="36"/>
      <c r="N167" s="36"/>
      <c r="O167" s="36"/>
      <c r="P167" s="36"/>
    </row>
    <row r="168" spans="1:16">
      <c r="A168" s="49" t="s">
        <v>64</v>
      </c>
      <c r="B168" s="44">
        <v>0</v>
      </c>
      <c r="C168" s="44">
        <v>0</v>
      </c>
      <c r="D168" s="44"/>
      <c r="E168" s="36"/>
      <c r="F168" s="36"/>
      <c r="G168" s="36"/>
      <c r="H168" s="44"/>
      <c r="I168" s="44"/>
      <c r="J168" s="44"/>
      <c r="K168" s="36"/>
      <c r="L168" s="36"/>
      <c r="M168" s="36"/>
      <c r="N168" s="36"/>
      <c r="O168" s="36"/>
      <c r="P168" s="36"/>
    </row>
    <row r="169" spans="1:16">
      <c r="A169" s="49" t="s">
        <v>65</v>
      </c>
      <c r="B169" s="50">
        <v>1</v>
      </c>
      <c r="C169" s="50">
        <v>1</v>
      </c>
      <c r="D169" s="50"/>
      <c r="E169" s="36"/>
      <c r="F169" s="36"/>
      <c r="G169" s="36"/>
      <c r="H169" s="50"/>
      <c r="I169" s="50"/>
      <c r="J169" s="50"/>
      <c r="K169" s="36"/>
      <c r="L169" s="36"/>
      <c r="M169" s="36"/>
      <c r="N169" s="36"/>
      <c r="O169" s="36"/>
      <c r="P169" s="36"/>
    </row>
    <row r="170" spans="1:16">
      <c r="A170" s="49" t="s">
        <v>66</v>
      </c>
      <c r="B170" s="50">
        <v>1</v>
      </c>
      <c r="C170" s="50">
        <v>1</v>
      </c>
      <c r="D170" s="50"/>
      <c r="E170" s="36"/>
      <c r="F170" s="36"/>
      <c r="G170" s="36"/>
      <c r="H170" s="50"/>
      <c r="I170" s="50"/>
      <c r="J170" s="50"/>
      <c r="K170" s="36"/>
      <c r="L170" s="36"/>
      <c r="M170" s="36"/>
      <c r="N170" s="36"/>
      <c r="O170" s="36"/>
      <c r="P170" s="36"/>
    </row>
    <row r="171" spans="1:16">
      <c r="A171" s="39" t="s">
        <v>5</v>
      </c>
      <c r="E171" s="36"/>
      <c r="F171" s="36"/>
      <c r="G171" s="36"/>
      <c r="K171" s="36"/>
      <c r="L171" s="36"/>
      <c r="M171" s="36"/>
      <c r="N171" s="36"/>
      <c r="O171" s="36"/>
      <c r="P171" s="36"/>
    </row>
    <row r="172" spans="1:16">
      <c r="A172" s="49" t="s">
        <v>62</v>
      </c>
      <c r="B172" s="44">
        <v>0</v>
      </c>
      <c r="C172" s="44">
        <v>0</v>
      </c>
      <c r="D172" s="44"/>
      <c r="E172" s="36"/>
      <c r="F172" s="36"/>
      <c r="G172" s="36"/>
      <c r="H172" s="44"/>
      <c r="I172" s="44"/>
      <c r="J172" s="44"/>
      <c r="K172" s="36"/>
      <c r="L172" s="36"/>
      <c r="M172" s="36"/>
      <c r="N172" s="36"/>
      <c r="O172" s="36"/>
      <c r="P172" s="36"/>
    </row>
    <row r="173" spans="1:16">
      <c r="A173" s="49" t="s">
        <v>63</v>
      </c>
      <c r="B173" s="50">
        <v>0</v>
      </c>
      <c r="C173" s="50">
        <v>0</v>
      </c>
      <c r="D173" s="50"/>
      <c r="E173" s="36"/>
      <c r="F173" s="36"/>
      <c r="G173" s="36"/>
      <c r="H173" s="50"/>
      <c r="I173" s="50"/>
      <c r="J173" s="50"/>
      <c r="K173" s="36"/>
      <c r="L173" s="36"/>
      <c r="M173" s="36"/>
      <c r="N173" s="36"/>
      <c r="O173" s="36"/>
      <c r="P173" s="36"/>
    </row>
    <row r="174" spans="1:16">
      <c r="A174" s="49" t="s">
        <v>64</v>
      </c>
      <c r="B174" s="44">
        <v>0</v>
      </c>
      <c r="C174" s="44">
        <v>0</v>
      </c>
      <c r="D174" s="44"/>
      <c r="E174" s="36"/>
      <c r="F174" s="36"/>
      <c r="G174" s="36"/>
      <c r="H174" s="44"/>
      <c r="I174" s="44"/>
      <c r="J174" s="44"/>
      <c r="K174" s="36"/>
      <c r="L174" s="36"/>
      <c r="M174" s="36"/>
      <c r="N174" s="36"/>
      <c r="O174" s="36"/>
      <c r="P174" s="36"/>
    </row>
    <row r="175" spans="1:16">
      <c r="A175" s="49" t="s">
        <v>65</v>
      </c>
      <c r="B175" s="50">
        <v>1</v>
      </c>
      <c r="C175" s="50">
        <v>1</v>
      </c>
      <c r="D175" s="50"/>
      <c r="E175" s="36"/>
      <c r="F175" s="36"/>
      <c r="G175" s="36"/>
      <c r="H175" s="50"/>
      <c r="I175" s="50"/>
      <c r="J175" s="50"/>
      <c r="K175" s="36"/>
      <c r="L175" s="36"/>
      <c r="M175" s="36"/>
      <c r="N175" s="36"/>
      <c r="O175" s="36"/>
      <c r="P175" s="36"/>
    </row>
    <row r="176" spans="1:16">
      <c r="A176" s="49" t="s">
        <v>66</v>
      </c>
      <c r="B176" s="50">
        <v>1</v>
      </c>
      <c r="C176" s="50">
        <v>1</v>
      </c>
      <c r="D176" s="50"/>
      <c r="E176" s="36"/>
      <c r="F176" s="36"/>
      <c r="G176" s="36"/>
      <c r="H176" s="50"/>
      <c r="I176" s="50"/>
      <c r="J176" s="50"/>
      <c r="K176" s="36"/>
      <c r="L176" s="36"/>
      <c r="M176" s="36"/>
      <c r="N176" s="36"/>
      <c r="O176" s="36"/>
      <c r="P176" s="36"/>
    </row>
    <row r="177" spans="1:16">
      <c r="A177" s="49"/>
      <c r="B177" s="50"/>
      <c r="C177" s="50"/>
      <c r="D177" s="50"/>
      <c r="E177" s="36"/>
      <c r="F177" s="36"/>
      <c r="G177" s="36"/>
      <c r="H177" s="50"/>
      <c r="I177" s="50"/>
      <c r="J177" s="50"/>
      <c r="K177" s="36"/>
      <c r="L177" s="36"/>
      <c r="M177" s="36"/>
      <c r="N177" s="36"/>
      <c r="O177" s="36"/>
      <c r="P177" s="36"/>
    </row>
    <row r="178" spans="1:16">
      <c r="A178" s="49"/>
      <c r="B178" s="50"/>
      <c r="C178" s="50"/>
      <c r="D178" s="50"/>
      <c r="E178" s="36"/>
      <c r="F178" s="36"/>
      <c r="G178" s="36"/>
      <c r="H178" s="50"/>
      <c r="I178" s="50"/>
      <c r="J178" s="50"/>
      <c r="K178" s="36"/>
      <c r="L178" s="36"/>
      <c r="M178" s="36"/>
      <c r="N178" s="36"/>
      <c r="O178" s="36"/>
      <c r="P178" s="36"/>
    </row>
    <row r="179" spans="1:16">
      <c r="A179" s="49"/>
      <c r="B179" s="50"/>
      <c r="C179" s="50"/>
      <c r="D179" s="50"/>
      <c r="E179" s="36"/>
      <c r="F179" s="36"/>
      <c r="G179" s="36"/>
      <c r="H179" s="50"/>
      <c r="I179" s="50"/>
      <c r="J179" s="50"/>
      <c r="K179" s="36"/>
      <c r="L179" s="36"/>
      <c r="M179" s="36"/>
      <c r="N179" s="36"/>
      <c r="O179" s="36"/>
      <c r="P179" s="36"/>
    </row>
    <row r="180" spans="1:16">
      <c r="A180" s="51"/>
      <c r="B180" s="52"/>
      <c r="C180" s="52"/>
      <c r="D180" s="52"/>
      <c r="E180" s="36"/>
      <c r="F180" s="36"/>
      <c r="G180" s="36"/>
      <c r="H180" s="52"/>
      <c r="I180" s="52"/>
      <c r="J180" s="52"/>
      <c r="K180" s="36"/>
      <c r="L180" s="36"/>
      <c r="M180" s="36"/>
      <c r="N180" s="36"/>
      <c r="O180" s="36"/>
      <c r="P180" s="36"/>
    </row>
    <row r="181" spans="1:16">
      <c r="A181" s="39"/>
      <c r="B181" s="53"/>
      <c r="C181" s="53"/>
      <c r="D181" s="53"/>
      <c r="E181" s="36"/>
      <c r="F181" s="36"/>
      <c r="G181" s="36"/>
      <c r="H181" s="53"/>
      <c r="I181" s="53"/>
      <c r="J181" s="53"/>
      <c r="K181" s="36"/>
      <c r="L181" s="36"/>
      <c r="M181" s="36"/>
      <c r="N181" s="36"/>
      <c r="O181" s="36"/>
      <c r="P181" s="36"/>
    </row>
    <row r="182" spans="1:16">
      <c r="A182" s="39"/>
      <c r="B182" s="36"/>
      <c r="C182" s="36"/>
      <c r="D182" s="36"/>
      <c r="E182" s="36"/>
      <c r="F182" s="36"/>
      <c r="G182" s="36"/>
      <c r="H182" s="36"/>
      <c r="I182" s="36"/>
      <c r="J182" s="36"/>
      <c r="K182" s="36"/>
      <c r="L182" s="36"/>
      <c r="M182" s="36"/>
      <c r="N182" s="36"/>
      <c r="O182" s="36"/>
      <c r="P182" s="36"/>
    </row>
    <row r="183" spans="1:16">
      <c r="A183" s="37" t="s">
        <v>236</v>
      </c>
      <c r="B183" s="44"/>
      <c r="C183" s="44"/>
      <c r="D183" s="44"/>
      <c r="E183" s="36"/>
      <c r="F183" s="36"/>
      <c r="G183" s="36"/>
      <c r="H183" s="36"/>
      <c r="I183" s="44"/>
      <c r="J183" s="44"/>
      <c r="K183" s="36"/>
      <c r="L183" s="36"/>
      <c r="M183" s="36"/>
      <c r="N183" s="36"/>
      <c r="O183" s="36"/>
      <c r="P183" s="36"/>
    </row>
    <row r="184" spans="1:16">
      <c r="A184" s="39" t="s">
        <v>2</v>
      </c>
      <c r="B184" s="44">
        <v>0</v>
      </c>
      <c r="C184" s="44">
        <v>1150</v>
      </c>
      <c r="D184" s="44"/>
      <c r="E184" s="36"/>
      <c r="F184" s="36"/>
      <c r="G184" s="36"/>
      <c r="H184" s="38"/>
      <c r="I184" s="44"/>
      <c r="J184" s="44"/>
      <c r="K184" s="36"/>
      <c r="L184" s="36"/>
      <c r="M184" s="36"/>
      <c r="N184" s="36"/>
      <c r="O184" s="36"/>
      <c r="P184" s="36"/>
    </row>
    <row r="185" spans="1:16">
      <c r="A185" s="39" t="s">
        <v>30</v>
      </c>
      <c r="B185" s="44">
        <v>0</v>
      </c>
      <c r="C185" s="44">
        <v>1725</v>
      </c>
      <c r="D185" s="44"/>
      <c r="E185" s="36"/>
      <c r="F185" s="36"/>
      <c r="G185" s="36"/>
      <c r="H185" s="38"/>
      <c r="I185" s="44"/>
      <c r="J185" s="44"/>
      <c r="K185" s="36"/>
      <c r="L185" s="36"/>
      <c r="M185" s="36"/>
      <c r="N185" s="36"/>
      <c r="O185" s="36"/>
      <c r="P185" s="36"/>
    </row>
    <row r="186" spans="1:16">
      <c r="A186" s="39" t="s">
        <v>25</v>
      </c>
      <c r="B186" s="44">
        <v>0</v>
      </c>
      <c r="C186" s="44">
        <v>1725</v>
      </c>
      <c r="D186" s="44"/>
      <c r="E186" s="36"/>
      <c r="F186" s="36"/>
      <c r="G186" s="36"/>
      <c r="H186" s="38"/>
      <c r="I186" s="44"/>
      <c r="J186" s="44"/>
      <c r="K186" s="36"/>
      <c r="L186" s="36"/>
      <c r="M186" s="36"/>
      <c r="N186" s="36"/>
      <c r="O186" s="36"/>
      <c r="P186" s="36"/>
    </row>
    <row r="187" spans="1:16">
      <c r="A187" s="39" t="s">
        <v>18</v>
      </c>
      <c r="B187" s="44">
        <v>0</v>
      </c>
      <c r="C187" s="44">
        <v>1725</v>
      </c>
      <c r="D187" s="44"/>
      <c r="E187" s="36"/>
      <c r="F187" s="36"/>
      <c r="G187" s="36"/>
      <c r="H187" s="38"/>
      <c r="I187" s="44"/>
      <c r="J187" s="44"/>
      <c r="K187" s="36"/>
      <c r="L187" s="36"/>
      <c r="M187" s="36"/>
      <c r="N187" s="36"/>
      <c r="O187" s="36"/>
      <c r="P187" s="36"/>
    </row>
    <row r="188" spans="1:16">
      <c r="A188" s="39" t="s">
        <v>23</v>
      </c>
      <c r="B188" s="44">
        <v>0</v>
      </c>
      <c r="C188" s="44">
        <v>1725</v>
      </c>
      <c r="D188" s="44"/>
      <c r="E188" s="36"/>
      <c r="F188" s="36"/>
      <c r="G188" s="36"/>
      <c r="H188" s="38"/>
      <c r="I188" s="44"/>
      <c r="J188" s="44"/>
      <c r="K188" s="36"/>
      <c r="L188" s="36"/>
      <c r="M188" s="36"/>
      <c r="N188" s="36"/>
      <c r="O188" s="36"/>
      <c r="P188" s="36"/>
    </row>
    <row r="189" spans="1:16">
      <c r="A189" s="39" t="s">
        <v>22</v>
      </c>
      <c r="B189" s="44">
        <v>0</v>
      </c>
      <c r="C189" s="44">
        <v>1725</v>
      </c>
      <c r="D189" s="44"/>
      <c r="E189" s="36"/>
      <c r="F189" s="36"/>
      <c r="G189" s="36"/>
      <c r="H189" s="38"/>
      <c r="I189" s="44"/>
      <c r="J189" s="44"/>
      <c r="K189" s="36"/>
      <c r="L189" s="36"/>
      <c r="M189" s="36"/>
      <c r="N189" s="36"/>
      <c r="O189" s="36"/>
      <c r="P189" s="36"/>
    </row>
    <row r="190" spans="1:16">
      <c r="A190" s="39"/>
      <c r="B190" s="44"/>
      <c r="C190" s="44"/>
      <c r="D190" s="44"/>
      <c r="E190" s="36"/>
      <c r="F190" s="36"/>
      <c r="G190" s="36"/>
      <c r="H190" s="38"/>
      <c r="I190" s="44"/>
      <c r="J190" s="44"/>
      <c r="K190" s="36"/>
      <c r="L190" s="36"/>
      <c r="M190" s="36"/>
      <c r="N190" s="36"/>
      <c r="O190" s="36"/>
      <c r="P190" s="36"/>
    </row>
    <row r="191" spans="1:16">
      <c r="E191" s="36"/>
      <c r="F191" s="36"/>
      <c r="G191" s="36"/>
      <c r="K191" s="36"/>
      <c r="L191" s="36"/>
      <c r="M191" s="36"/>
      <c r="N191" s="36"/>
      <c r="O191" s="36"/>
      <c r="P191" s="36"/>
    </row>
    <row r="192" spans="1:16">
      <c r="A192" s="37" t="s">
        <v>72</v>
      </c>
      <c r="B192" s="37"/>
      <c r="C192" s="37"/>
      <c r="D192" s="37"/>
      <c r="H192" s="37"/>
      <c r="I192" s="37"/>
      <c r="J192" s="37"/>
    </row>
    <row r="193" spans="1:10">
      <c r="A193" s="39" t="s">
        <v>2</v>
      </c>
      <c r="B193" s="54">
        <v>113</v>
      </c>
      <c r="C193" s="54">
        <v>72</v>
      </c>
      <c r="D193" s="54"/>
      <c r="E193" s="178"/>
      <c r="F193" s="178"/>
      <c r="H193" s="54"/>
      <c r="I193" s="54"/>
      <c r="J193" s="54"/>
    </row>
    <row r="194" spans="1:10">
      <c r="A194" s="39" t="s">
        <v>30</v>
      </c>
      <c r="B194" s="54">
        <v>447</v>
      </c>
      <c r="C194" s="54">
        <v>302</v>
      </c>
      <c r="D194" s="54"/>
      <c r="H194" s="54"/>
      <c r="I194" s="54"/>
      <c r="J194" s="54"/>
    </row>
    <row r="195" spans="1:10">
      <c r="A195" s="39" t="s">
        <v>25</v>
      </c>
      <c r="B195" s="54">
        <v>371</v>
      </c>
      <c r="C195" s="54">
        <v>249</v>
      </c>
      <c r="D195" s="54"/>
    </row>
    <row r="196" spans="1:10">
      <c r="A196" s="39" t="s">
        <v>18</v>
      </c>
      <c r="B196" s="54">
        <v>371</v>
      </c>
      <c r="C196" s="54">
        <v>249</v>
      </c>
      <c r="D196" s="54"/>
    </row>
    <row r="197" spans="1:10">
      <c r="A197" s="39" t="s">
        <v>23</v>
      </c>
      <c r="B197" s="54">
        <v>696</v>
      </c>
      <c r="C197" s="54">
        <v>474</v>
      </c>
      <c r="D197" s="54"/>
    </row>
    <row r="198" spans="1:10">
      <c r="A198" s="39" t="s">
        <v>22</v>
      </c>
      <c r="B198" s="54">
        <v>696</v>
      </c>
      <c r="C198" s="54">
        <v>474</v>
      </c>
      <c r="D198" s="54"/>
    </row>
    <row r="200" spans="1:10">
      <c r="A200" s="37" t="s">
        <v>126</v>
      </c>
    </row>
    <row r="201" spans="1:10">
      <c r="A201" s="39" t="str">
        <f>"This tool illustrates your projected out-of-pocket cost for each "&amp;B5&amp;" medical/pharmacy plan. "</f>
        <v xml:space="preserve">This tool illustrates your projected out-of-pocket cost for each Green Diamond Resource Company medical/pharmacy plan. </v>
      </c>
    </row>
    <row r="202" spans="1:10">
      <c r="A202" s="39" t="s">
        <v>263</v>
      </c>
    </row>
    <row r="203" spans="1:10">
      <c r="A203" s="39" t="str">
        <f>CONCATENATE(A201,A202)</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row>
    <row r="205" spans="1:10">
      <c r="A205" s="175" t="str">
        <f>"Question #7: If you are considering the "&amp;C40&amp;", enter the annual health savings account (HSA) contribution you plan to make (not including the amount "&amp;B5&amp;" will deposit in your HSA). "</f>
        <v xml:space="preserve">Question #7: If you are considering the HSP Plan, enter the annual health savings account (HSA) contribution you plan to make (not including the amount Green Diamond Resource Company will deposit in your HSA). </v>
      </c>
    </row>
    <row r="206" spans="1:10">
      <c r="A206" s="175" t="str">
        <f>" This answer does not impact your "&amp;Plan_Year&amp;" estimated cost; it is only used on the 'Tax Savings' tab."</f>
        <v xml:space="preserve"> This answer does not impact your 2023-24 estimated cost; it is only used on the 'Tax Savings' tab.</v>
      </c>
    </row>
    <row r="207" spans="1:10">
      <c r="A207" s="175" t="str">
        <f>CONCATENATE(A205,A206)</f>
        <v>Question #7: If you are considering the HSP Plan, enter the annual health savings account (HSA) contribution you plan to make (not including the amount Green Diamond Resource Company will deposit in your HSA).  This answer does not impact your 2023-24 estimated cost; it is only used on the 'Tax Savings' tab.</v>
      </c>
    </row>
    <row r="210" spans="1:1">
      <c r="A210" s="28" t="s">
        <v>242</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I47" sqref="I47"/>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2" s="36" customFormat="1" ht="21">
      <c r="A2" s="59" t="str">
        <f>"Detailed Out-of-Pocket Cost Examples for "&amp;Asmpt!B40</f>
        <v>Detailed Out-of-Pocket Cost Examples for PPO Plan</v>
      </c>
      <c r="B2" s="59"/>
      <c r="C2" s="43"/>
      <c r="D2" s="43"/>
      <c r="E2" s="59"/>
      <c r="F2" s="43"/>
      <c r="G2" s="43"/>
      <c r="H2" s="43"/>
      <c r="I2" s="43"/>
      <c r="J2" s="43"/>
      <c r="K2" s="43"/>
      <c r="L2" s="43"/>
      <c r="M2" s="43"/>
      <c r="N2" s="59" t="str">
        <f>$A2</f>
        <v>Detailed Out-of-Pocket Cost Examples for PPO Plan</v>
      </c>
      <c r="Q2" s="59"/>
    </row>
    <row r="3" spans="1:32" s="43" customFormat="1" ht="21">
      <c r="A3" s="59"/>
      <c r="B3" s="59"/>
    </row>
    <row r="4" spans="1:32" s="63" customFormat="1" ht="20.100000000000001" customHeight="1">
      <c r="A4" s="61"/>
      <c r="B4" s="61"/>
      <c r="C4" s="62"/>
      <c r="E4" s="60" t="s">
        <v>73</v>
      </c>
      <c r="F4" s="61"/>
      <c r="G4" s="61"/>
      <c r="H4" s="61"/>
      <c r="I4" s="61"/>
      <c r="J4" s="61"/>
      <c r="K4" s="61"/>
      <c r="L4" s="61"/>
      <c r="N4" s="64"/>
      <c r="O4" s="67" t="str">
        <f>Asmpt!$B$43&amp;" — "&amp;A6</f>
        <v>PPO — Employee Only</v>
      </c>
      <c r="P4" s="67"/>
      <c r="Q4" s="67"/>
      <c r="R4" s="67"/>
      <c r="S4" s="67"/>
      <c r="T4" s="67"/>
      <c r="U4" s="67"/>
      <c r="V4" s="67"/>
      <c r="W4" s="67"/>
      <c r="X4" s="67"/>
      <c r="Y4" s="67"/>
      <c r="Z4" s="67"/>
      <c r="AA4" s="67"/>
      <c r="AB4" s="67"/>
      <c r="AC4" s="67"/>
      <c r="AD4" s="67"/>
      <c r="AE4" s="67"/>
      <c r="AF4" s="64"/>
    </row>
    <row r="5" spans="1:32" s="65" customFormat="1" ht="10.15" customHeight="1">
      <c r="E5" s="66"/>
    </row>
    <row r="6" spans="1:32"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2"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2"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row>
    <row r="9" spans="1:32" s="84" customFormat="1" ht="17.100000000000001" customHeight="1">
      <c r="T9" s="85">
        <v>0</v>
      </c>
      <c r="U9" s="86"/>
      <c r="V9" s="87">
        <v>0</v>
      </c>
      <c r="W9" s="87">
        <v>0</v>
      </c>
      <c r="X9" s="87">
        <v>0</v>
      </c>
      <c r="Y9" s="87">
        <v>0</v>
      </c>
      <c r="Z9" s="87">
        <v>0</v>
      </c>
      <c r="AA9" s="87">
        <v>0</v>
      </c>
      <c r="AB9" s="87">
        <v>0</v>
      </c>
      <c r="AC9" s="87">
        <v>0</v>
      </c>
      <c r="AD9" s="86">
        <v>0</v>
      </c>
      <c r="AE9" s="86"/>
    </row>
    <row r="10" spans="1:32"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Asmpt!$B$58</f>
        <v>0</v>
      </c>
      <c r="P10" s="94">
        <f>Asmpt!$B$59</f>
        <v>0</v>
      </c>
      <c r="Q10" s="93">
        <f>Asmpt!$B$60</f>
        <v>0</v>
      </c>
      <c r="R10" s="94">
        <f>Asmpt!$B$61</f>
        <v>0</v>
      </c>
      <c r="S10" s="95">
        <f>IF(Asmpt!$B$62=0,0,Asmpt!$B$46)</f>
        <v>0</v>
      </c>
      <c r="T10" s="88">
        <f>Asmpt!$B$51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2"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Asmpt!$B$64</f>
        <v>25</v>
      </c>
      <c r="P11" s="94">
        <f>Asmpt!$B$65</f>
        <v>0</v>
      </c>
      <c r="Q11" s="93">
        <f>Asmpt!$B$66</f>
        <v>0</v>
      </c>
      <c r="R11" s="94">
        <f>Asmpt!$B$67</f>
        <v>0</v>
      </c>
      <c r="S11" s="95">
        <f>IF(Asmpt!$B$68=0,0,Asmpt!$B$46)</f>
        <v>0</v>
      </c>
      <c r="T11" s="88">
        <f>Asmpt!$B$51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2" s="65" customFormat="1" ht="17.100000000000001" customHeight="1">
      <c r="A12" s="91" t="s">
        <v>220</v>
      </c>
      <c r="B12" s="89">
        <f>'Cost Estimator'!E16</f>
        <v>0</v>
      </c>
      <c r="C12" s="90">
        <f>B12*Asmpt!$B20</f>
        <v>0</v>
      </c>
      <c r="E12" s="89">
        <f>ROUND(E$72*B12,0)</f>
        <v>0</v>
      </c>
      <c r="F12" s="90">
        <f t="shared" si="0"/>
        <v>0</v>
      </c>
      <c r="G12" s="91"/>
      <c r="H12" s="89">
        <f>IF(E$71&lt;4,B12-E12,ROUND(H$72*B12,0))</f>
        <v>0</v>
      </c>
      <c r="I12" s="90">
        <f t="shared" si="1"/>
        <v>0</v>
      </c>
      <c r="J12" s="91"/>
      <c r="K12" s="92">
        <f t="shared" si="2"/>
        <v>0</v>
      </c>
      <c r="L12" s="90">
        <f t="shared" si="3"/>
        <v>0</v>
      </c>
      <c r="N12" s="65" t="str">
        <f t="shared" si="4"/>
        <v>Physical or Occupational Therapy/Massage</v>
      </c>
      <c r="O12" s="93">
        <f>Asmpt!$B$70</f>
        <v>40</v>
      </c>
      <c r="P12" s="94">
        <f>Asmpt!$B$71</f>
        <v>0</v>
      </c>
      <c r="Q12" s="93">
        <f>Asmpt!$B$72</f>
        <v>0</v>
      </c>
      <c r="R12" s="94">
        <f>Asmpt!$B$73</f>
        <v>0</v>
      </c>
      <c r="S12" s="95">
        <f>IF(Asmpt!$B$74=0,0,Asmpt!$B$46)</f>
        <v>0</v>
      </c>
      <c r="T12" s="88">
        <f>Asmpt!$B$51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C12-SUM(V12:AD12)</f>
        <v>0</v>
      </c>
    </row>
    <row r="13" spans="1:32" s="65" customFormat="1" ht="17.100000000000001" customHeight="1">
      <c r="A13" s="91" t="s">
        <v>219</v>
      </c>
      <c r="B13" s="89">
        <f>'Cost Estimator'!F16</f>
        <v>0</v>
      </c>
      <c r="C13" s="90">
        <f>B13*Asmpt!$B21</f>
        <v>0</v>
      </c>
      <c r="E13" s="89">
        <f t="shared" ref="E13:E29" si="5">ROUND(E$72*B13,0)</f>
        <v>0</v>
      </c>
      <c r="F13" s="90">
        <f t="shared" si="0"/>
        <v>0</v>
      </c>
      <c r="G13" s="91"/>
      <c r="H13" s="89">
        <f t="shared" ref="H13:H29" si="6">IF(E$71&lt;4,B13-E13,ROUND(H$72*B13,0))</f>
        <v>0</v>
      </c>
      <c r="I13" s="90">
        <f t="shared" si="1"/>
        <v>0</v>
      </c>
      <c r="J13" s="91"/>
      <c r="K13" s="92">
        <f t="shared" si="2"/>
        <v>0</v>
      </c>
      <c r="L13" s="90">
        <f t="shared" si="3"/>
        <v>0</v>
      </c>
      <c r="N13" s="65" t="str">
        <f t="shared" si="4"/>
        <v>Chiro/Accupuncture</v>
      </c>
      <c r="O13" s="93">
        <f>Asmpt!$B$76</f>
        <v>25</v>
      </c>
      <c r="P13" s="94">
        <f>Asmpt!$B$77</f>
        <v>0</v>
      </c>
      <c r="Q13" s="93">
        <f>Asmpt!$B$78</f>
        <v>0</v>
      </c>
      <c r="R13" s="94">
        <f>Asmpt!$B$79</f>
        <v>0</v>
      </c>
      <c r="S13" s="95">
        <f>IF(Asmpt!$B$80=0,0,Asmpt!$B$46)</f>
        <v>0</v>
      </c>
      <c r="T13" s="88">
        <f>Asmpt!$B$51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C13-SUM(V13:AD13)</f>
        <v>0</v>
      </c>
    </row>
    <row r="14" spans="1:32" s="65" customFormat="1" ht="17.100000000000001" customHeight="1">
      <c r="A14" s="91" t="s">
        <v>107</v>
      </c>
      <c r="B14" s="89">
        <f>'Cost Estimator'!G16</f>
        <v>0</v>
      </c>
      <c r="C14" s="90">
        <f>B14*Asmpt!$B22</f>
        <v>0</v>
      </c>
      <c r="E14" s="89">
        <f t="shared" si="5"/>
        <v>0</v>
      </c>
      <c r="F14" s="90">
        <f t="shared" si="0"/>
        <v>0</v>
      </c>
      <c r="G14" s="91"/>
      <c r="H14" s="89">
        <f t="shared" si="6"/>
        <v>0</v>
      </c>
      <c r="I14" s="90">
        <f t="shared" si="1"/>
        <v>0</v>
      </c>
      <c r="J14" s="91"/>
      <c r="K14" s="92">
        <f t="shared" si="2"/>
        <v>0</v>
      </c>
      <c r="L14" s="90">
        <f t="shared" si="3"/>
        <v>0</v>
      </c>
      <c r="N14" s="65" t="str">
        <f t="shared" si="4"/>
        <v>Specialist Office Visits</v>
      </c>
      <c r="O14" s="93">
        <f>Asmpt!$B$82</f>
        <v>40</v>
      </c>
      <c r="P14" s="94">
        <f>Asmpt!$B$83</f>
        <v>0</v>
      </c>
      <c r="Q14" s="93">
        <f>Asmpt!$B$84</f>
        <v>0</v>
      </c>
      <c r="R14" s="94">
        <f>Asmpt!$B$85</f>
        <v>0</v>
      </c>
      <c r="S14" s="95">
        <f>IF(Asmpt!$B$86=0,0,Asmpt!$B$46)</f>
        <v>0</v>
      </c>
      <c r="T14" s="88">
        <f>Asmpt!$B$51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C14-SUM(V14:AD14)</f>
        <v>0</v>
      </c>
    </row>
    <row r="15" spans="1:32" s="65" customFormat="1" ht="17.100000000000001" customHeight="1">
      <c r="A15" s="91" t="s">
        <v>201</v>
      </c>
      <c r="B15" s="89">
        <f>'Cost Estimator'!F23</f>
        <v>0</v>
      </c>
      <c r="C15" s="90">
        <f>B15*Asmpt!$B23</f>
        <v>0</v>
      </c>
      <c r="E15" s="89">
        <f t="shared" si="5"/>
        <v>0</v>
      </c>
      <c r="F15" s="90">
        <f>IF($B15=0,0,$C15/$B15*E15)</f>
        <v>0</v>
      </c>
      <c r="G15" s="91"/>
      <c r="H15" s="89">
        <f t="shared" si="6"/>
        <v>0</v>
      </c>
      <c r="I15" s="90">
        <f>IF($B15=0,0,$C15/$B15*H15)</f>
        <v>0</v>
      </c>
      <c r="J15" s="91"/>
      <c r="K15" s="92">
        <f t="shared" si="2"/>
        <v>0</v>
      </c>
      <c r="L15" s="90">
        <f>IF($B15=0,0,$C15/$B15*K15)</f>
        <v>0</v>
      </c>
      <c r="N15" s="65" t="str">
        <f t="shared" si="4"/>
        <v>Retail Preferred Generic</v>
      </c>
      <c r="O15" s="93">
        <f>Asmpt!$B$88</f>
        <v>10</v>
      </c>
      <c r="P15" s="94">
        <f>Asmpt!$B$89</f>
        <v>0</v>
      </c>
      <c r="Q15" s="93">
        <f>Asmpt!$B$90</f>
        <v>0</v>
      </c>
      <c r="R15" s="94">
        <f>Asmpt!$B$91</f>
        <v>0</v>
      </c>
      <c r="S15" s="95">
        <f>IF(Asmpt!$B$92=0,0,Asmpt!$B$47)</f>
        <v>0</v>
      </c>
      <c r="T15" s="88">
        <f>Asmpt!$B$51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7">C15-SUM(V15:AD15)</f>
        <v>0</v>
      </c>
    </row>
    <row r="16" spans="1:32" s="65" customFormat="1" ht="17.100000000000001" customHeight="1">
      <c r="A16" s="91" t="s">
        <v>202</v>
      </c>
      <c r="B16" s="89">
        <f>'Cost Estimator'!F24</f>
        <v>0</v>
      </c>
      <c r="C16" s="90">
        <f>B16*Asmpt!$B24</f>
        <v>0</v>
      </c>
      <c r="E16" s="89">
        <f t="shared" si="5"/>
        <v>0</v>
      </c>
      <c r="F16" s="90">
        <f t="shared" si="0"/>
        <v>0</v>
      </c>
      <c r="G16" s="91"/>
      <c r="H16" s="89">
        <f t="shared" si="6"/>
        <v>0</v>
      </c>
      <c r="I16" s="90">
        <f t="shared" ref="I16:I24" si="8">IF($B16=0,0,$C16/$B16*H16)</f>
        <v>0</v>
      </c>
      <c r="J16" s="91"/>
      <c r="K16" s="92">
        <f t="shared" si="2"/>
        <v>0</v>
      </c>
      <c r="L16" s="90">
        <f t="shared" ref="L16:L24" si="9">IF($B16=0,0,$C16/$B16*K16)</f>
        <v>0</v>
      </c>
      <c r="N16" s="65" t="str">
        <f t="shared" si="4"/>
        <v>Retail Non-Preferred Generic</v>
      </c>
      <c r="O16" s="93">
        <f>Asmpt!$B$94</f>
        <v>0</v>
      </c>
      <c r="P16" s="94">
        <f>Asmpt!$B$95</f>
        <v>0</v>
      </c>
      <c r="Q16" s="93">
        <f>Asmpt!$B$96</f>
        <v>0</v>
      </c>
      <c r="R16" s="94">
        <f>Asmpt!$B$97</f>
        <v>0</v>
      </c>
      <c r="S16" s="95">
        <f>IF(Asmpt!$B$98=0,0,Asmpt!$B$47)</f>
        <v>0.3</v>
      </c>
      <c r="T16" s="88">
        <f>Asmpt!$B$51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7"/>
        <v>0</v>
      </c>
    </row>
    <row r="17" spans="1:31" s="65" customFormat="1" ht="17.100000000000001" customHeight="1">
      <c r="A17" s="91" t="s">
        <v>108</v>
      </c>
      <c r="B17" s="89">
        <f>'Cost Estimator'!F25</f>
        <v>0</v>
      </c>
      <c r="C17" s="90">
        <f>B17*Asmpt!$B25</f>
        <v>0</v>
      </c>
      <c r="E17" s="89">
        <f t="shared" si="5"/>
        <v>0</v>
      </c>
      <c r="F17" s="90">
        <f t="shared" si="0"/>
        <v>0</v>
      </c>
      <c r="G17" s="91"/>
      <c r="H17" s="89">
        <f t="shared" si="6"/>
        <v>0</v>
      </c>
      <c r="I17" s="90">
        <f t="shared" si="8"/>
        <v>0</v>
      </c>
      <c r="J17" s="91"/>
      <c r="K17" s="92">
        <f t="shared" si="2"/>
        <v>0</v>
      </c>
      <c r="L17" s="90">
        <f t="shared" si="9"/>
        <v>0</v>
      </c>
      <c r="N17" s="65" t="str">
        <f t="shared" si="4"/>
        <v>Retail Preferred Brand</v>
      </c>
      <c r="O17" s="93">
        <f>Asmpt!$B$100</f>
        <v>30</v>
      </c>
      <c r="P17" s="94">
        <f>Asmpt!$B$101</f>
        <v>0</v>
      </c>
      <c r="Q17" s="93">
        <f>Asmpt!$B$102</f>
        <v>0</v>
      </c>
      <c r="R17" s="94">
        <f>Asmpt!$B$103</f>
        <v>0</v>
      </c>
      <c r="S17" s="95">
        <f>IF(Asmpt!$B$104=0,0,Asmpt!$B$47)</f>
        <v>0</v>
      </c>
      <c r="T17" s="88">
        <f>Asmpt!$B$51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7"/>
        <v>0</v>
      </c>
    </row>
    <row r="18" spans="1:31" s="65" customFormat="1" ht="17.100000000000001" customHeight="1">
      <c r="A18" s="91" t="s">
        <v>109</v>
      </c>
      <c r="B18" s="89">
        <f>'Cost Estimator'!F26</f>
        <v>0</v>
      </c>
      <c r="C18" s="90">
        <f>B18*Asmpt!$B26</f>
        <v>0</v>
      </c>
      <c r="E18" s="89">
        <f t="shared" si="5"/>
        <v>0</v>
      </c>
      <c r="F18" s="90">
        <f t="shared" si="0"/>
        <v>0</v>
      </c>
      <c r="G18" s="91"/>
      <c r="H18" s="89">
        <f t="shared" si="6"/>
        <v>0</v>
      </c>
      <c r="I18" s="90">
        <f t="shared" si="8"/>
        <v>0</v>
      </c>
      <c r="J18" s="91"/>
      <c r="K18" s="92">
        <f t="shared" si="2"/>
        <v>0</v>
      </c>
      <c r="L18" s="90">
        <f t="shared" si="9"/>
        <v>0</v>
      </c>
      <c r="N18" s="65" t="str">
        <f t="shared" si="4"/>
        <v>Retail Non-Preferred Brand</v>
      </c>
      <c r="O18" s="93">
        <f>Asmpt!$B$106</f>
        <v>0</v>
      </c>
      <c r="P18" s="94">
        <f>Asmpt!$B$107</f>
        <v>0</v>
      </c>
      <c r="Q18" s="93">
        <f>Asmpt!$B$108</f>
        <v>0</v>
      </c>
      <c r="R18" s="94">
        <f>Asmpt!$B$109</f>
        <v>0</v>
      </c>
      <c r="S18" s="95">
        <f>IF(Asmpt!$B$110=0,0,Asmpt!$B$47)</f>
        <v>0.3</v>
      </c>
      <c r="T18" s="88">
        <f>Asmpt!$B$51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7"/>
        <v>0</v>
      </c>
    </row>
    <row r="19" spans="1:31" s="65" customFormat="1" ht="17.100000000000001" customHeight="1">
      <c r="A19" s="91" t="s">
        <v>199</v>
      </c>
      <c r="B19" s="89">
        <f>'Cost Estimator'!F29</f>
        <v>0</v>
      </c>
      <c r="C19" s="90">
        <f>B19*Asmpt!$B27</f>
        <v>0</v>
      </c>
      <c r="E19" s="89">
        <f t="shared" si="5"/>
        <v>0</v>
      </c>
      <c r="F19" s="90">
        <f t="shared" si="0"/>
        <v>0</v>
      </c>
      <c r="G19" s="91"/>
      <c r="H19" s="89">
        <f t="shared" si="6"/>
        <v>0</v>
      </c>
      <c r="I19" s="90">
        <f t="shared" si="8"/>
        <v>0</v>
      </c>
      <c r="J19" s="91"/>
      <c r="K19" s="92">
        <f t="shared" si="2"/>
        <v>0</v>
      </c>
      <c r="L19" s="90">
        <f t="shared" si="9"/>
        <v>0</v>
      </c>
      <c r="N19" s="65" t="str">
        <f t="shared" si="4"/>
        <v>Preferred Specialty</v>
      </c>
      <c r="O19" s="93">
        <f>Asmpt!$B$112</f>
        <v>50</v>
      </c>
      <c r="P19" s="94">
        <f>Asmpt!$B$113</f>
        <v>0</v>
      </c>
      <c r="Q19" s="93">
        <f>Asmpt!$B$114</f>
        <v>0</v>
      </c>
      <c r="R19" s="94">
        <f>Asmpt!$B$115</f>
        <v>0</v>
      </c>
      <c r="S19" s="95">
        <f>IF(Asmpt!$B$116=0,0,Asmpt!$B$47)</f>
        <v>0</v>
      </c>
      <c r="T19" s="88">
        <f>Asmpt!$B$51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7"/>
        <v>0</v>
      </c>
    </row>
    <row r="20" spans="1:31" s="65" customFormat="1" ht="17.100000000000001" customHeight="1">
      <c r="A20" s="91" t="s">
        <v>200</v>
      </c>
      <c r="B20" s="89">
        <f>'Cost Estimator'!F30</f>
        <v>0</v>
      </c>
      <c r="C20" s="90">
        <f>B20*Asmpt!$B28</f>
        <v>0</v>
      </c>
      <c r="E20" s="89">
        <f t="shared" si="5"/>
        <v>0</v>
      </c>
      <c r="F20" s="90">
        <f t="shared" si="0"/>
        <v>0</v>
      </c>
      <c r="G20" s="91"/>
      <c r="H20" s="89">
        <f t="shared" si="6"/>
        <v>0</v>
      </c>
      <c r="I20" s="90">
        <f t="shared" si="8"/>
        <v>0</v>
      </c>
      <c r="J20" s="91"/>
      <c r="K20" s="92">
        <f t="shared" si="2"/>
        <v>0</v>
      </c>
      <c r="L20" s="90">
        <f t="shared" si="9"/>
        <v>0</v>
      </c>
      <c r="N20" s="65" t="str">
        <f t="shared" si="4"/>
        <v>Non-Preferred Specialty</v>
      </c>
      <c r="O20" s="93">
        <f>Asmpt!$B$118</f>
        <v>0</v>
      </c>
      <c r="P20" s="94">
        <f>Asmpt!$B$119</f>
        <v>0</v>
      </c>
      <c r="Q20" s="93">
        <f>Asmpt!$B$120</f>
        <v>0</v>
      </c>
      <c r="R20" s="94">
        <f>Asmpt!$B$121</f>
        <v>0</v>
      </c>
      <c r="S20" s="95">
        <f>IF(Asmpt!$B$122=0,0,Asmpt!$B$47)</f>
        <v>0.3</v>
      </c>
      <c r="T20" s="88">
        <f>Asmpt!$B$51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7"/>
        <v>0</v>
      </c>
    </row>
    <row r="21" spans="1:31" s="65" customFormat="1" ht="17.100000000000001" customHeight="1">
      <c r="A21" s="91" t="s">
        <v>203</v>
      </c>
      <c r="B21" s="89">
        <f>'Cost Estimator'!G23</f>
        <v>0</v>
      </c>
      <c r="C21" s="90">
        <f>B21*Asmpt!$B29</f>
        <v>0</v>
      </c>
      <c r="E21" s="89">
        <f t="shared" si="5"/>
        <v>0</v>
      </c>
      <c r="F21" s="90">
        <f t="shared" si="0"/>
        <v>0</v>
      </c>
      <c r="G21" s="91"/>
      <c r="H21" s="89">
        <f t="shared" si="6"/>
        <v>0</v>
      </c>
      <c r="I21" s="90">
        <f t="shared" si="8"/>
        <v>0</v>
      </c>
      <c r="J21" s="91"/>
      <c r="K21" s="92">
        <f t="shared" si="2"/>
        <v>0</v>
      </c>
      <c r="L21" s="90">
        <f t="shared" si="9"/>
        <v>0</v>
      </c>
      <c r="N21" s="65" t="str">
        <f t="shared" si="4"/>
        <v>Mail Order Preferred Generic</v>
      </c>
      <c r="O21" s="93">
        <f>Asmpt!$B$124</f>
        <v>25</v>
      </c>
      <c r="P21" s="94">
        <f>Asmpt!$B$125</f>
        <v>0</v>
      </c>
      <c r="Q21" s="93">
        <f>Asmpt!$B$126</f>
        <v>0</v>
      </c>
      <c r="R21" s="94">
        <f>Asmpt!$B$127</f>
        <v>0</v>
      </c>
      <c r="S21" s="95">
        <f>IF(Asmpt!$B$128=0,0,Asmpt!$B$47)</f>
        <v>0</v>
      </c>
      <c r="T21" s="88">
        <f>Asmpt!$B$51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7"/>
        <v>0</v>
      </c>
    </row>
    <row r="22" spans="1:31" s="65" customFormat="1" ht="17.100000000000001" customHeight="1">
      <c r="A22" s="91" t="s">
        <v>204</v>
      </c>
      <c r="B22" s="89">
        <f>'Cost Estimator'!G24</f>
        <v>0</v>
      </c>
      <c r="C22" s="90">
        <f>B22*Asmpt!$B30</f>
        <v>0</v>
      </c>
      <c r="E22" s="89">
        <f t="shared" si="5"/>
        <v>0</v>
      </c>
      <c r="F22" s="90">
        <f t="shared" si="0"/>
        <v>0</v>
      </c>
      <c r="G22" s="91"/>
      <c r="H22" s="89">
        <f t="shared" si="6"/>
        <v>0</v>
      </c>
      <c r="I22" s="90">
        <f t="shared" si="8"/>
        <v>0</v>
      </c>
      <c r="J22" s="91"/>
      <c r="K22" s="92">
        <f t="shared" si="2"/>
        <v>0</v>
      </c>
      <c r="L22" s="90">
        <f t="shared" si="9"/>
        <v>0</v>
      </c>
      <c r="N22" s="65" t="str">
        <f t="shared" si="4"/>
        <v>Mail Order Non-Preferred Generic</v>
      </c>
      <c r="O22" s="93">
        <f>Asmpt!$B$130</f>
        <v>0</v>
      </c>
      <c r="P22" s="94">
        <f>Asmpt!$B$131</f>
        <v>0</v>
      </c>
      <c r="Q22" s="93">
        <f>Asmpt!$B$132</f>
        <v>0</v>
      </c>
      <c r="R22" s="94">
        <f>Asmpt!$B$133</f>
        <v>0</v>
      </c>
      <c r="S22" s="95">
        <f>IF(Asmpt!$B$134=0,0,Asmpt!$B$47)</f>
        <v>0.3</v>
      </c>
      <c r="T22" s="88">
        <f>Asmpt!$B$51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7"/>
        <v>0</v>
      </c>
    </row>
    <row r="23" spans="1:31" s="65" customFormat="1" ht="17.100000000000001" customHeight="1">
      <c r="A23" s="91" t="s">
        <v>110</v>
      </c>
      <c r="B23" s="89">
        <f>'Cost Estimator'!G25</f>
        <v>0</v>
      </c>
      <c r="C23" s="90">
        <f>B23*Asmpt!$B31</f>
        <v>0</v>
      </c>
      <c r="E23" s="89">
        <f t="shared" si="5"/>
        <v>0</v>
      </c>
      <c r="F23" s="90">
        <f t="shared" si="0"/>
        <v>0</v>
      </c>
      <c r="G23" s="91"/>
      <c r="H23" s="89">
        <f t="shared" si="6"/>
        <v>0</v>
      </c>
      <c r="I23" s="90">
        <f t="shared" si="8"/>
        <v>0</v>
      </c>
      <c r="J23" s="91"/>
      <c r="K23" s="92">
        <f t="shared" si="2"/>
        <v>0</v>
      </c>
      <c r="L23" s="90">
        <f t="shared" si="9"/>
        <v>0</v>
      </c>
      <c r="N23" s="65" t="str">
        <f t="shared" si="4"/>
        <v>Mail Order Preferred Brand</v>
      </c>
      <c r="O23" s="93">
        <f>Asmpt!$B$136</f>
        <v>75</v>
      </c>
      <c r="P23" s="94">
        <f>Asmpt!$B$137</f>
        <v>0</v>
      </c>
      <c r="Q23" s="93">
        <f>Asmpt!$B$138</f>
        <v>0</v>
      </c>
      <c r="R23" s="94">
        <f>Asmpt!$B$139</f>
        <v>0</v>
      </c>
      <c r="S23" s="95">
        <f>IF(Asmpt!$B$140=0,0,Asmpt!$B$47)</f>
        <v>0</v>
      </c>
      <c r="T23" s="88">
        <f>Asmpt!$B$51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7"/>
        <v>0</v>
      </c>
    </row>
    <row r="24" spans="1:31" s="65" customFormat="1" ht="17.100000000000001" customHeight="1">
      <c r="A24" s="91" t="s">
        <v>111</v>
      </c>
      <c r="B24" s="89">
        <f>'Cost Estimator'!G26</f>
        <v>0</v>
      </c>
      <c r="C24" s="90">
        <f>B24*Asmpt!$B32</f>
        <v>0</v>
      </c>
      <c r="E24" s="89">
        <f t="shared" si="5"/>
        <v>0</v>
      </c>
      <c r="F24" s="90">
        <f t="shared" si="0"/>
        <v>0</v>
      </c>
      <c r="G24" s="91"/>
      <c r="H24" s="89">
        <f t="shared" si="6"/>
        <v>0</v>
      </c>
      <c r="I24" s="90">
        <f t="shared" si="8"/>
        <v>0</v>
      </c>
      <c r="J24" s="91"/>
      <c r="K24" s="92">
        <f t="shared" si="2"/>
        <v>0</v>
      </c>
      <c r="L24" s="90">
        <f t="shared" si="9"/>
        <v>0</v>
      </c>
      <c r="N24" s="65" t="str">
        <f t="shared" si="4"/>
        <v>Mail Order Non-Preferred Brand</v>
      </c>
      <c r="O24" s="93">
        <f>Asmpt!$B$142</f>
        <v>0</v>
      </c>
      <c r="P24" s="94">
        <f>Asmpt!$B$143</f>
        <v>0</v>
      </c>
      <c r="Q24" s="93">
        <f>Asmpt!$B$144</f>
        <v>0</v>
      </c>
      <c r="R24" s="94">
        <f>Asmpt!$B$145</f>
        <v>0</v>
      </c>
      <c r="S24" s="95">
        <f>IF(Asmpt!$B$146=0,0,Asmpt!$B$47)</f>
        <v>0.3</v>
      </c>
      <c r="T24" s="88">
        <f>Asmpt!$B$51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7"/>
        <v>0</v>
      </c>
    </row>
    <row r="25" spans="1:31" s="65" customFormat="1" ht="17.100000000000001" customHeight="1">
      <c r="A25" s="91" t="s">
        <v>112</v>
      </c>
      <c r="B25" s="89">
        <f>'Cost Estimator'!G35</f>
        <v>0</v>
      </c>
      <c r="C25" s="90">
        <f>B25*Asmpt!$B33</f>
        <v>0</v>
      </c>
      <c r="E25" s="89">
        <f t="shared" si="5"/>
        <v>0</v>
      </c>
      <c r="F25" s="90">
        <f t="shared" ref="F25:F27" si="10">IF($B25=0,0,$C25/$B25*E25)</f>
        <v>0</v>
      </c>
      <c r="G25" s="91"/>
      <c r="H25" s="89">
        <f t="shared" si="6"/>
        <v>0</v>
      </c>
      <c r="I25" s="90">
        <f t="shared" ref="I25:I27" si="11">IF($B25=0,0,$C25/$B25*H25)</f>
        <v>0</v>
      </c>
      <c r="J25" s="91"/>
      <c r="K25" s="92">
        <f t="shared" si="2"/>
        <v>0</v>
      </c>
      <c r="L25" s="90">
        <f t="shared" ref="L25:L27" si="12">IF($B25=0,0,$C25/$B25*K25)</f>
        <v>0</v>
      </c>
      <c r="N25" s="65" t="str">
        <f t="shared" si="4"/>
        <v>Lab and X-Ray</v>
      </c>
      <c r="O25" s="93">
        <f>Asmpt!$B$148</f>
        <v>0</v>
      </c>
      <c r="P25" s="94">
        <f>Asmpt!$B$149</f>
        <v>0</v>
      </c>
      <c r="Q25" s="93">
        <f>Asmpt!$B$150</f>
        <v>0</v>
      </c>
      <c r="R25" s="94">
        <f>Asmpt!$B$151</f>
        <v>1</v>
      </c>
      <c r="S25" s="95">
        <f>IF(Asmpt!$B$152=0,0,Asmpt!$B$46)</f>
        <v>0.2</v>
      </c>
      <c r="T25" s="88">
        <f>Asmpt!$B$51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7"/>
        <v>0</v>
      </c>
    </row>
    <row r="26" spans="1:31" s="65" customFormat="1" ht="17.100000000000001" customHeight="1">
      <c r="A26" s="91" t="s">
        <v>211</v>
      </c>
      <c r="B26" s="89">
        <f>'Cost Estimator'!G36</f>
        <v>0</v>
      </c>
      <c r="C26" s="90">
        <f>B26*Asmpt!$B34</f>
        <v>0</v>
      </c>
      <c r="E26" s="89">
        <f t="shared" si="5"/>
        <v>0</v>
      </c>
      <c r="F26" s="90">
        <f t="shared" si="10"/>
        <v>0</v>
      </c>
      <c r="G26" s="91"/>
      <c r="H26" s="89">
        <f t="shared" si="6"/>
        <v>0</v>
      </c>
      <c r="I26" s="90">
        <f t="shared" si="11"/>
        <v>0</v>
      </c>
      <c r="J26" s="91"/>
      <c r="K26" s="92">
        <f t="shared" si="2"/>
        <v>0</v>
      </c>
      <c r="L26" s="90">
        <f t="shared" si="12"/>
        <v>0</v>
      </c>
      <c r="N26" s="65" t="str">
        <f t="shared" si="4"/>
        <v>Advanced Imaging</v>
      </c>
      <c r="O26" s="93">
        <f>Asmpt!$B$154</f>
        <v>0</v>
      </c>
      <c r="P26" s="94">
        <f>Asmpt!$B$155</f>
        <v>0</v>
      </c>
      <c r="Q26" s="93">
        <f>Asmpt!$B$156</f>
        <v>0</v>
      </c>
      <c r="R26" s="94">
        <f>Asmpt!$B$157</f>
        <v>1</v>
      </c>
      <c r="S26" s="95">
        <f>IF(Asmpt!$B$158=0,0,Asmpt!$B$46)</f>
        <v>0.2</v>
      </c>
      <c r="T26" s="88">
        <f>Asmpt!$B$51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7"/>
        <v>0</v>
      </c>
    </row>
    <row r="27" spans="1:31" s="65" customFormat="1" ht="17.100000000000001" customHeight="1" outlineLevel="2">
      <c r="A27" s="91" t="s">
        <v>212</v>
      </c>
      <c r="B27" s="89">
        <f>'Cost Estimator'!G37</f>
        <v>0</v>
      </c>
      <c r="C27" s="90">
        <f>B27*Asmpt!$B35</f>
        <v>0</v>
      </c>
      <c r="E27" s="89">
        <f t="shared" si="5"/>
        <v>0</v>
      </c>
      <c r="F27" s="90">
        <f t="shared" si="10"/>
        <v>0</v>
      </c>
      <c r="G27" s="91"/>
      <c r="H27" s="89">
        <f t="shared" si="6"/>
        <v>0</v>
      </c>
      <c r="I27" s="90">
        <f t="shared" si="11"/>
        <v>0</v>
      </c>
      <c r="J27" s="91"/>
      <c r="K27" s="92">
        <f t="shared" si="2"/>
        <v>0</v>
      </c>
      <c r="L27" s="90">
        <f t="shared" si="12"/>
        <v>0</v>
      </c>
      <c r="N27" s="65" t="str">
        <f t="shared" si="4"/>
        <v>[HOLD]</v>
      </c>
      <c r="O27" s="93">
        <f>Asmpt!$B$160</f>
        <v>0</v>
      </c>
      <c r="P27" s="94">
        <f>Asmpt!$B$161</f>
        <v>0</v>
      </c>
      <c r="Q27" s="93">
        <f>Asmpt!$B$162</f>
        <v>0</v>
      </c>
      <c r="R27" s="94">
        <f>Asmpt!$B$163</f>
        <v>1</v>
      </c>
      <c r="S27" s="95">
        <f>IF(Asmpt!$B$164=0,0,Asmpt!$B$46)</f>
        <v>0.2</v>
      </c>
      <c r="T27" s="88">
        <f>Asmpt!$B$51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7"/>
        <v>0</v>
      </c>
    </row>
    <row r="28" spans="1:31" s="65" customFormat="1" ht="17.100000000000001" customHeight="1">
      <c r="A28" s="91" t="s">
        <v>113</v>
      </c>
      <c r="B28" s="89">
        <f>ROUNDUP(C28/5000,0)</f>
        <v>0</v>
      </c>
      <c r="C28" s="90">
        <f>'Cost Estimator'!G42</f>
        <v>0</v>
      </c>
      <c r="E28" s="89">
        <f t="shared" si="5"/>
        <v>0</v>
      </c>
      <c r="F28" s="90">
        <f t="shared" si="0"/>
        <v>0</v>
      </c>
      <c r="G28" s="91"/>
      <c r="H28" s="89">
        <f t="shared" si="6"/>
        <v>0</v>
      </c>
      <c r="I28" s="90">
        <f t="shared" si="1"/>
        <v>0</v>
      </c>
      <c r="J28" s="91"/>
      <c r="K28" s="92">
        <f t="shared" si="2"/>
        <v>0</v>
      </c>
      <c r="L28" s="90">
        <f t="shared" si="3"/>
        <v>0</v>
      </c>
      <c r="N28" s="65" t="str">
        <f t="shared" si="4"/>
        <v>Outpatient Procedures (Surgery)</v>
      </c>
      <c r="O28" s="93">
        <f>Asmpt!$B$166</f>
        <v>0</v>
      </c>
      <c r="P28" s="94">
        <f>Asmpt!$B$167</f>
        <v>0</v>
      </c>
      <c r="Q28" s="93">
        <f>Asmpt!$B$168</f>
        <v>0</v>
      </c>
      <c r="R28" s="94">
        <f>Asmpt!$B$169</f>
        <v>1</v>
      </c>
      <c r="S28" s="95">
        <f>IF(Asmpt!$B$170=0,0,Asmpt!$B$46)</f>
        <v>0.2</v>
      </c>
      <c r="T28" s="88">
        <f>Asmpt!$B$51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7"/>
        <v>0</v>
      </c>
    </row>
    <row r="29" spans="1:31" s="65" customFormat="1" ht="17.100000000000001" customHeight="1">
      <c r="A29" s="91" t="s">
        <v>5</v>
      </c>
      <c r="B29" s="89">
        <f>ROUNDUP(C29/5000,0)</f>
        <v>0</v>
      </c>
      <c r="C29" s="90">
        <f>'Cost Estimator'!G46</f>
        <v>0</v>
      </c>
      <c r="E29" s="89">
        <f t="shared" si="5"/>
        <v>0</v>
      </c>
      <c r="F29" s="90">
        <f t="shared" si="0"/>
        <v>0</v>
      </c>
      <c r="G29" s="91"/>
      <c r="H29" s="89">
        <f t="shared" si="6"/>
        <v>0</v>
      </c>
      <c r="I29" s="90">
        <f t="shared" si="1"/>
        <v>0</v>
      </c>
      <c r="J29" s="91"/>
      <c r="K29" s="92">
        <f t="shared" si="2"/>
        <v>0</v>
      </c>
      <c r="L29" s="90">
        <f t="shared" si="3"/>
        <v>0</v>
      </c>
      <c r="N29" s="65" t="str">
        <f t="shared" si="4"/>
        <v>Other</v>
      </c>
      <c r="O29" s="93">
        <f>Asmpt!$B$172</f>
        <v>0</v>
      </c>
      <c r="P29" s="94">
        <f>Asmpt!$B$173</f>
        <v>0</v>
      </c>
      <c r="Q29" s="93">
        <f>Asmpt!$B$174</f>
        <v>0</v>
      </c>
      <c r="R29" s="94">
        <f>Asmpt!$B$175</f>
        <v>1</v>
      </c>
      <c r="S29" s="95">
        <f>IF(Asmpt!$B$176=0,0,Asmpt!$B$46)</f>
        <v>0.2</v>
      </c>
      <c r="T29" s="88">
        <f>Asmpt!$B$51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7"/>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 si="13">SUM(V10:V29)</f>
        <v>0</v>
      </c>
      <c r="W31" s="96">
        <f>SUM(W10:W29)</f>
        <v>0</v>
      </c>
      <c r="X31" s="96">
        <f t="shared" ref="X31:AE31" si="14">SUM(X10:X29)</f>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IF(E71=1,Asmpt!B44,IF(Asmpt!B53=1,Asmpt!B44,Asmpt!B45))</f>
        <v>500</v>
      </c>
      <c r="P32" s="93">
        <f>IF(E71=1,O32,Asmpt!B45)</f>
        <v>500</v>
      </c>
      <c r="Q32" s="93"/>
    </row>
    <row r="33" spans="1:31" s="74" customFormat="1" ht="17.100000000000001" customHeight="1">
      <c r="A33" s="75" t="s">
        <v>91</v>
      </c>
      <c r="B33" s="75"/>
      <c r="C33" s="76" t="str">
        <f>Asmpt!$B$43</f>
        <v>PPO</v>
      </c>
      <c r="D33" s="65"/>
      <c r="E33" s="65"/>
      <c r="F33" s="65"/>
      <c r="G33" s="65"/>
      <c r="H33" s="65"/>
      <c r="I33" s="65"/>
      <c r="J33" s="65"/>
      <c r="K33" s="65"/>
      <c r="L33" s="65"/>
      <c r="M33" s="65"/>
      <c r="N33" s="65" t="s">
        <v>92</v>
      </c>
      <c r="O33" s="93">
        <f>IF(E71=1,Asmpt!B48,IF(Asmpt!B54=1,Asmpt!B48,Asmpt!B50))</f>
        <v>3000</v>
      </c>
      <c r="P33" s="93">
        <f>IF(E71=1,O33,Asmpt!B49)</f>
        <v>3000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N36" s="65">
        <f>5000-750</f>
        <v>4250</v>
      </c>
      <c r="O36" s="100"/>
      <c r="P36" s="100"/>
      <c r="Q36" s="100"/>
    </row>
    <row r="37" spans="1:31" s="65" customFormat="1" ht="17.100000000000001" customHeight="1">
      <c r="A37" s="65" t="str">
        <f>Asmpt!$AA$39</f>
        <v>(Less HSA Reimbursement)</v>
      </c>
      <c r="C37" s="93">
        <f>-MIN(SUM(C34:C36),INDEX(Asmpt!$B184:$B189,E71))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Estimator'!E57</f>
        <v>1356</v>
      </c>
    </row>
    <row r="41" spans="1:31" s="65" customFormat="1" ht="17.100000000000001" customHeight="1">
      <c r="B41" s="92"/>
      <c r="C41" s="92"/>
    </row>
    <row r="42" spans="1:31" s="74" customFormat="1" ht="17.100000000000001" customHeight="1">
      <c r="A42" s="103" t="s">
        <v>28</v>
      </c>
      <c r="B42" s="103"/>
      <c r="C42" s="104">
        <f>C38+C40</f>
        <v>1356</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IF(OR(C33="HSA",C33="HRA"),IF(Asmpt!B$184+C37=0,0,Asmpt!B$184+C37),"NA")</f>
        <v>NA</v>
      </c>
      <c r="O44" s="102"/>
      <c r="P44" s="102"/>
      <c r="Q44" s="102"/>
    </row>
    <row r="45" spans="1:31" s="65" customFormat="1" ht="17.100000000000001" customHeight="1">
      <c r="O45" s="102"/>
      <c r="P45" s="102"/>
      <c r="Q45" s="102"/>
    </row>
    <row r="46" spans="1:31" s="65" customFormat="1" ht="17.100000000000001" customHeight="1">
      <c r="A46" s="172" t="s">
        <v>145</v>
      </c>
      <c r="B46" s="172"/>
      <c r="C46" s="173"/>
      <c r="O46" s="102"/>
      <c r="P46" s="102"/>
      <c r="Q46" s="102"/>
    </row>
    <row r="47" spans="1:31" s="65" customFormat="1" ht="17.100000000000001" customHeight="1">
      <c r="A47" s="65" t="s">
        <v>146</v>
      </c>
      <c r="C47" s="96">
        <f>C40</f>
        <v>1356</v>
      </c>
      <c r="O47" s="102"/>
      <c r="P47" s="102"/>
      <c r="Q47" s="102"/>
    </row>
    <row r="48" spans="1:31" s="65" customFormat="1" ht="17.100000000000001" customHeight="1">
      <c r="A48" s="65" t="s">
        <v>101</v>
      </c>
      <c r="O48" s="102"/>
      <c r="P48" s="102"/>
      <c r="Q48" s="102"/>
    </row>
    <row r="49" spans="1:32" s="65" customFormat="1" ht="17.100000000000001" customHeight="1">
      <c r="A49" s="174" t="s">
        <v>149</v>
      </c>
      <c r="C49" s="65">
        <f>INDEX('Cost Estimator'!K5:K10,'Cost Estimator'!J4)</f>
        <v>1</v>
      </c>
      <c r="O49" s="102"/>
      <c r="P49" s="102"/>
      <c r="Q49" s="102"/>
    </row>
    <row r="50" spans="1:32" s="65" customFormat="1" ht="17.100000000000001" customHeight="1">
      <c r="A50" s="174" t="s">
        <v>150</v>
      </c>
      <c r="C50" s="65">
        <f>C49*Asmpt!B50</f>
        <v>3000</v>
      </c>
      <c r="O50" s="102"/>
      <c r="P50" s="102"/>
      <c r="Q50" s="102"/>
    </row>
    <row r="51" spans="1:32" s="65" customFormat="1" ht="17.100000000000001" customHeight="1">
      <c r="A51" s="174" t="s">
        <v>151</v>
      </c>
      <c r="C51" s="65">
        <f>Asmpt!B49</f>
        <v>6000</v>
      </c>
      <c r="O51" s="102"/>
      <c r="P51" s="102"/>
      <c r="Q51" s="102"/>
    </row>
    <row r="52" spans="1:32" s="65" customFormat="1" ht="17.100000000000001" customHeight="1">
      <c r="A52" s="174" t="s">
        <v>152</v>
      </c>
      <c r="C52" s="65">
        <f>MIN(C50:C51)</f>
        <v>3000</v>
      </c>
      <c r="O52" s="102"/>
      <c r="P52" s="102"/>
      <c r="Q52" s="102"/>
    </row>
    <row r="53" spans="1:32" s="65" customFormat="1" ht="17.100000000000001" customHeight="1">
      <c r="A53" s="65" t="s">
        <v>147</v>
      </c>
      <c r="C53" s="96">
        <f>-MIN(C52,INDEX(Asmpt!$B184:$B189,E71))</f>
        <v>0</v>
      </c>
      <c r="O53" s="102"/>
      <c r="P53" s="102"/>
      <c r="Q53" s="102"/>
    </row>
    <row r="54" spans="1:32" s="65" customFormat="1" ht="17.100000000000001" customHeight="1">
      <c r="A54" s="65" t="s">
        <v>28</v>
      </c>
      <c r="C54" s="96">
        <f>C47+C52+C53</f>
        <v>4356</v>
      </c>
      <c r="O54" s="102"/>
      <c r="P54" s="102"/>
      <c r="Q54" s="102"/>
    </row>
    <row r="55" spans="1:32" s="65" customFormat="1" ht="17.100000000000001" customHeight="1">
      <c r="O55" s="102"/>
      <c r="P55" s="102"/>
      <c r="Q55" s="102"/>
    </row>
    <row r="56" spans="1:32" s="65" customFormat="1" ht="17.100000000000001" customHeight="1">
      <c r="O56" s="102"/>
      <c r="P56" s="102"/>
      <c r="Q56" s="102"/>
    </row>
    <row r="57" spans="1:32" s="65" customFormat="1" ht="17.100000000000001" customHeight="1">
      <c r="A57" s="102" t="s">
        <v>71</v>
      </c>
      <c r="O57" s="100"/>
      <c r="P57" s="100"/>
      <c r="Q57" s="100"/>
    </row>
    <row r="58" spans="1:32" s="65" customFormat="1" ht="15.75">
      <c r="A58" s="65" t="s">
        <v>100</v>
      </c>
      <c r="M58" s="84"/>
      <c r="N58" s="84"/>
      <c r="O58" s="84"/>
      <c r="P58" s="84"/>
      <c r="Q58" s="84"/>
      <c r="R58" s="84"/>
      <c r="S58" s="84"/>
      <c r="T58" s="84"/>
      <c r="U58" s="84"/>
      <c r="V58" s="84"/>
      <c r="W58" s="84"/>
      <c r="X58" s="84"/>
      <c r="Y58" s="84"/>
      <c r="Z58" s="84"/>
      <c r="AA58" s="84"/>
      <c r="AB58" s="84"/>
      <c r="AC58" s="84"/>
      <c r="AD58" s="84"/>
      <c r="AE58" s="84"/>
      <c r="AF58" s="84"/>
    </row>
    <row r="59" spans="1:32" s="65" customFormat="1" ht="15.75">
      <c r="A59" s="65" t="str">
        <f>C33&amp;" = "&amp;Asmpt!B$40</f>
        <v>PPO = PPO Plan</v>
      </c>
      <c r="M59" s="84"/>
      <c r="N59" s="84"/>
      <c r="O59" s="84"/>
      <c r="P59" s="84"/>
      <c r="Q59" s="84"/>
      <c r="R59" s="84"/>
      <c r="S59" s="84"/>
      <c r="T59" s="84"/>
      <c r="U59" s="84"/>
      <c r="V59" s="84"/>
      <c r="W59" s="84"/>
      <c r="X59" s="84"/>
      <c r="Y59" s="84"/>
      <c r="Z59" s="84"/>
      <c r="AA59" s="84"/>
      <c r="AB59" s="84"/>
      <c r="AC59" s="84"/>
      <c r="AD59" s="84"/>
      <c r="AE59" s="84"/>
      <c r="AF59" s="84"/>
    </row>
    <row r="60" spans="1:32" s="105" customFormat="1" ht="15.75"/>
    <row r="61" spans="1:32" s="105" customFormat="1" ht="15.75"/>
    <row r="62" spans="1:32" s="105" customFormat="1" ht="15.75">
      <c r="B62" s="106" t="s">
        <v>104</v>
      </c>
      <c r="C62" s="107"/>
      <c r="D62" s="107"/>
      <c r="E62" s="107"/>
      <c r="F62" s="107"/>
      <c r="G62" s="107"/>
      <c r="H62" s="107"/>
      <c r="I62" s="107"/>
      <c r="J62" s="107"/>
      <c r="K62" s="107"/>
      <c r="L62" s="108"/>
    </row>
    <row r="63" spans="1:32" s="105" customFormat="1" ht="15.75">
      <c r="B63" s="109" t="s">
        <v>2</v>
      </c>
      <c r="C63" s="110"/>
      <c r="D63" s="110"/>
      <c r="E63" s="111">
        <v>1</v>
      </c>
      <c r="F63" s="111"/>
      <c r="G63" s="111"/>
      <c r="H63" s="111">
        <v>0</v>
      </c>
      <c r="I63" s="111"/>
      <c r="J63" s="111"/>
      <c r="K63" s="111">
        <v>0</v>
      </c>
      <c r="L63" s="112"/>
    </row>
    <row r="64" spans="1:32"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zoomScale="70" zoomScaleNormal="70" zoomScaleSheetLayoutView="86" workbookViewId="0">
      <selection activeCell="K59" sqref="K5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"&amp;Asmpt!C40</f>
        <v>Detailed Out-of-Pocket Cost Examples for HSP Plan</v>
      </c>
      <c r="B2" s="59"/>
      <c r="C2" s="43"/>
      <c r="D2" s="43"/>
      <c r="E2" s="59"/>
      <c r="F2" s="43"/>
      <c r="G2" s="43"/>
      <c r="H2" s="43"/>
      <c r="I2" s="43"/>
      <c r="J2" s="43"/>
      <c r="K2" s="43"/>
      <c r="L2" s="43"/>
      <c r="M2" s="43"/>
      <c r="N2" s="59" t="str">
        <f>$A2</f>
        <v>Detailed Out-of-Pocket Cost Examples for HSP Plan</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Asmpt!$C$43&amp;" — "&amp;A6</f>
        <v>HSA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Asmpt!$C$58</f>
        <v>0</v>
      </c>
      <c r="P10" s="94">
        <f>Asmpt!$C$59</f>
        <v>0</v>
      </c>
      <c r="Q10" s="93">
        <f>Asmpt!$C$60</f>
        <v>0</v>
      </c>
      <c r="R10" s="94">
        <f>Asmpt!$C$61</f>
        <v>0</v>
      </c>
      <c r="S10" s="95">
        <f>IF(Asmpt!$C$62=0,0,Asmpt!$C$46)</f>
        <v>0</v>
      </c>
      <c r="T10" s="88">
        <f>Asmpt!$C$51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Asmpt!$C$64</f>
        <v>0</v>
      </c>
      <c r="P11" s="94">
        <f>Asmpt!$C$65</f>
        <v>0</v>
      </c>
      <c r="Q11" s="93">
        <f>Asmpt!$C$66</f>
        <v>0</v>
      </c>
      <c r="R11" s="94">
        <f>Asmpt!$C$67</f>
        <v>1</v>
      </c>
      <c r="S11" s="95">
        <f>IF(Asmpt!$C$68=0,0,Asmpt!$C$46)</f>
        <v>0.2</v>
      </c>
      <c r="T11" s="88">
        <f>Asmpt!$C$51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220</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si="4"/>
        <v>Physical or Occupational Therapy/Massage</v>
      </c>
      <c r="O12" s="93">
        <f>Asmpt!$C$70</f>
        <v>0</v>
      </c>
      <c r="P12" s="94">
        <f>Asmpt!$C$71</f>
        <v>0</v>
      </c>
      <c r="Q12" s="93">
        <f>Asmpt!$C$72</f>
        <v>0</v>
      </c>
      <c r="R12" s="94">
        <f>Asmpt!$C$73</f>
        <v>1</v>
      </c>
      <c r="S12" s="95">
        <f>IF(Asmpt!$C$74=0,0,Asmpt!$C$46)</f>
        <v>0.2</v>
      </c>
      <c r="T12" s="88">
        <f>Asmpt!$C$51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9">C12-SUM(V12:AD12)</f>
        <v>0</v>
      </c>
    </row>
    <row r="13" spans="1:33" s="65" customFormat="1" ht="17.100000000000001" customHeight="1">
      <c r="A13" s="91" t="s">
        <v>219</v>
      </c>
      <c r="B13" s="89">
        <f>'Cost Estimator'!F16</f>
        <v>0</v>
      </c>
      <c r="C13" s="90">
        <f>B13*Asmpt!$B21</f>
        <v>0</v>
      </c>
      <c r="E13" s="89">
        <f t="shared" ref="E13:E29" si="10">ROUND(E$72*B13,0)</f>
        <v>0</v>
      </c>
      <c r="F13" s="90">
        <f t="shared" si="0"/>
        <v>0</v>
      </c>
      <c r="G13" s="91"/>
      <c r="H13" s="89">
        <f t="shared" ref="H13:H29" si="11">IF(E$71&lt;4,B13-E13,ROUND(H$72*B13,0))</f>
        <v>0</v>
      </c>
      <c r="I13" s="90">
        <f t="shared" si="1"/>
        <v>0</v>
      </c>
      <c r="J13" s="91"/>
      <c r="K13" s="92">
        <f t="shared" si="2"/>
        <v>0</v>
      </c>
      <c r="L13" s="90">
        <f t="shared" si="3"/>
        <v>0</v>
      </c>
      <c r="N13" s="65" t="str">
        <f t="shared" si="4"/>
        <v>Chiro/Accupuncture</v>
      </c>
      <c r="O13" s="93">
        <f>Asmpt!$C$76</f>
        <v>0</v>
      </c>
      <c r="P13" s="94">
        <f>Asmpt!$C$77</f>
        <v>0</v>
      </c>
      <c r="Q13" s="93">
        <f>Asmpt!$C$78</f>
        <v>0</v>
      </c>
      <c r="R13" s="94">
        <f>Asmpt!$C$79</f>
        <v>1</v>
      </c>
      <c r="S13" s="95">
        <f>IF(Asmpt!$C$80=0,0,Asmpt!$C$46)</f>
        <v>0.2</v>
      </c>
      <c r="T13" s="88">
        <f>Asmpt!$C$51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9"/>
        <v>0</v>
      </c>
    </row>
    <row r="14" spans="1:33" s="65" customFormat="1" ht="17.100000000000001" customHeight="1">
      <c r="A14" s="91" t="s">
        <v>107</v>
      </c>
      <c r="B14" s="89">
        <f>'Cost Estimator'!G16</f>
        <v>0</v>
      </c>
      <c r="C14" s="90">
        <f>B14*Asmpt!$B22</f>
        <v>0</v>
      </c>
      <c r="E14" s="89">
        <f t="shared" si="10"/>
        <v>0</v>
      </c>
      <c r="F14" s="90">
        <f t="shared" si="0"/>
        <v>0</v>
      </c>
      <c r="G14" s="91"/>
      <c r="H14" s="89">
        <f t="shared" si="11"/>
        <v>0</v>
      </c>
      <c r="I14" s="90">
        <f t="shared" si="1"/>
        <v>0</v>
      </c>
      <c r="J14" s="91"/>
      <c r="K14" s="92">
        <f t="shared" si="2"/>
        <v>0</v>
      </c>
      <c r="L14" s="90">
        <f t="shared" si="3"/>
        <v>0</v>
      </c>
      <c r="N14" s="65" t="str">
        <f t="shared" si="4"/>
        <v>Specialist Office Visits</v>
      </c>
      <c r="O14" s="93">
        <f>Asmpt!$C$82</f>
        <v>0</v>
      </c>
      <c r="P14" s="94">
        <f>Asmpt!$C$83</f>
        <v>0</v>
      </c>
      <c r="Q14" s="93">
        <f>Asmpt!$C$84</f>
        <v>0</v>
      </c>
      <c r="R14" s="94">
        <f>Asmpt!$C$85</f>
        <v>1</v>
      </c>
      <c r="S14" s="95">
        <f>IF(Asmpt!$C$86=0,0,Asmpt!$C$46)</f>
        <v>0.2</v>
      </c>
      <c r="T14" s="88">
        <f>Asmpt!$C$51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2">C14-SUM(V14:AD14)</f>
        <v>0</v>
      </c>
    </row>
    <row r="15" spans="1:33" s="65" customFormat="1" ht="17.100000000000001" customHeight="1">
      <c r="A15" s="91" t="s">
        <v>201</v>
      </c>
      <c r="B15" s="89">
        <f>'Cost Estimator'!F23</f>
        <v>0</v>
      </c>
      <c r="C15" s="90">
        <f>B15*Asmpt!$B23</f>
        <v>0</v>
      </c>
      <c r="E15" s="89">
        <f t="shared" si="10"/>
        <v>0</v>
      </c>
      <c r="F15" s="90">
        <f t="shared" si="0"/>
        <v>0</v>
      </c>
      <c r="G15" s="91"/>
      <c r="H15" s="89">
        <f t="shared" si="11"/>
        <v>0</v>
      </c>
      <c r="I15" s="90">
        <f t="shared" si="1"/>
        <v>0</v>
      </c>
      <c r="J15" s="91"/>
      <c r="K15" s="92">
        <f t="shared" si="2"/>
        <v>0</v>
      </c>
      <c r="L15" s="90">
        <f t="shared" si="3"/>
        <v>0</v>
      </c>
      <c r="N15" s="65" t="str">
        <f t="shared" si="4"/>
        <v>Retail Preferred Generic</v>
      </c>
      <c r="O15" s="93">
        <f>Asmpt!$C$88</f>
        <v>0</v>
      </c>
      <c r="P15" s="94">
        <f>Asmpt!$C$89</f>
        <v>0</v>
      </c>
      <c r="Q15" s="93">
        <f>Asmpt!$C$90</f>
        <v>0</v>
      </c>
      <c r="R15" s="94">
        <f>Asmpt!$C$91</f>
        <v>1</v>
      </c>
      <c r="S15" s="95">
        <f>IF(Asmpt!$C$92=0,0,Asmpt!$C$47)</f>
        <v>0.2</v>
      </c>
      <c r="T15" s="88">
        <f>Asmpt!$C$51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3">C15-SUM(V15:AD15)</f>
        <v>0</v>
      </c>
    </row>
    <row r="16" spans="1:33" s="65" customFormat="1" ht="17.100000000000001" customHeight="1">
      <c r="A16" s="91" t="s">
        <v>202</v>
      </c>
      <c r="B16" s="89">
        <f>'Cost Estimator'!F24</f>
        <v>0</v>
      </c>
      <c r="C16" s="90">
        <f>B16*Asmpt!$B24</f>
        <v>0</v>
      </c>
      <c r="E16" s="89">
        <f t="shared" si="10"/>
        <v>0</v>
      </c>
      <c r="F16" s="90">
        <f t="shared" si="0"/>
        <v>0</v>
      </c>
      <c r="G16" s="91"/>
      <c r="H16" s="89">
        <f t="shared" si="11"/>
        <v>0</v>
      </c>
      <c r="I16" s="90">
        <f t="shared" si="1"/>
        <v>0</v>
      </c>
      <c r="J16" s="91"/>
      <c r="K16" s="92">
        <f t="shared" si="2"/>
        <v>0</v>
      </c>
      <c r="L16" s="90">
        <f t="shared" si="3"/>
        <v>0</v>
      </c>
      <c r="N16" s="65" t="str">
        <f t="shared" si="4"/>
        <v>Retail Non-Preferred Generic</v>
      </c>
      <c r="O16" s="93">
        <f>Asmpt!$C$94</f>
        <v>0</v>
      </c>
      <c r="P16" s="94">
        <f>Asmpt!$C$95</f>
        <v>0</v>
      </c>
      <c r="Q16" s="93">
        <f>Asmpt!$C$96</f>
        <v>0</v>
      </c>
      <c r="R16" s="94">
        <f>Asmpt!$C$97</f>
        <v>1</v>
      </c>
      <c r="S16" s="95">
        <f>IF(Asmpt!$C$98=0,0,Asmpt!$C$47)</f>
        <v>0.2</v>
      </c>
      <c r="T16" s="88">
        <f>Asmpt!$C$51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3"/>
        <v>0</v>
      </c>
    </row>
    <row r="17" spans="1:31" s="65" customFormat="1" ht="17.100000000000001" customHeight="1">
      <c r="A17" s="91" t="s">
        <v>108</v>
      </c>
      <c r="B17" s="89">
        <f>'Cost Estimator'!F25</f>
        <v>0</v>
      </c>
      <c r="C17" s="90">
        <f>B17*Asmpt!$B25</f>
        <v>0</v>
      </c>
      <c r="E17" s="89">
        <f t="shared" si="10"/>
        <v>0</v>
      </c>
      <c r="F17" s="90">
        <f t="shared" si="0"/>
        <v>0</v>
      </c>
      <c r="G17" s="91"/>
      <c r="H17" s="89">
        <f t="shared" si="11"/>
        <v>0</v>
      </c>
      <c r="I17" s="90">
        <f t="shared" si="1"/>
        <v>0</v>
      </c>
      <c r="J17" s="91"/>
      <c r="K17" s="92">
        <f t="shared" si="2"/>
        <v>0</v>
      </c>
      <c r="L17" s="90">
        <f t="shared" si="3"/>
        <v>0</v>
      </c>
      <c r="N17" s="65" t="str">
        <f t="shared" si="4"/>
        <v>Retail Preferred Brand</v>
      </c>
      <c r="O17" s="93">
        <f>Asmpt!$C$100</f>
        <v>0</v>
      </c>
      <c r="P17" s="94">
        <f>Asmpt!$C$101</f>
        <v>0</v>
      </c>
      <c r="Q17" s="93">
        <f>Asmpt!$C$102</f>
        <v>0</v>
      </c>
      <c r="R17" s="94">
        <f>Asmpt!$C$103</f>
        <v>1</v>
      </c>
      <c r="S17" s="95">
        <f>IF(Asmpt!$C$104=0,0,Asmpt!$C$47)</f>
        <v>0.2</v>
      </c>
      <c r="T17" s="88">
        <f>Asmpt!$C$51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3"/>
        <v>0</v>
      </c>
    </row>
    <row r="18" spans="1:31" s="65" customFormat="1" ht="17.100000000000001" customHeight="1">
      <c r="A18" s="91" t="s">
        <v>109</v>
      </c>
      <c r="B18" s="89">
        <f>'Cost Estimator'!F26</f>
        <v>0</v>
      </c>
      <c r="C18" s="90">
        <f>B18*Asmpt!$B26</f>
        <v>0</v>
      </c>
      <c r="E18" s="89">
        <f t="shared" si="10"/>
        <v>0</v>
      </c>
      <c r="F18" s="90">
        <f t="shared" si="0"/>
        <v>0</v>
      </c>
      <c r="G18" s="91"/>
      <c r="H18" s="89">
        <f t="shared" si="11"/>
        <v>0</v>
      </c>
      <c r="I18" s="90">
        <f t="shared" si="1"/>
        <v>0</v>
      </c>
      <c r="J18" s="91"/>
      <c r="K18" s="92">
        <f t="shared" si="2"/>
        <v>0</v>
      </c>
      <c r="L18" s="90">
        <f t="shared" si="3"/>
        <v>0</v>
      </c>
      <c r="N18" s="65" t="str">
        <f t="shared" si="4"/>
        <v>Retail Non-Preferred Brand</v>
      </c>
      <c r="O18" s="93">
        <f>Asmpt!$C$106</f>
        <v>0</v>
      </c>
      <c r="P18" s="94">
        <f>Asmpt!$C$107</f>
        <v>0</v>
      </c>
      <c r="Q18" s="93">
        <f>Asmpt!$C$108</f>
        <v>0</v>
      </c>
      <c r="R18" s="94">
        <f>Asmpt!$C$109</f>
        <v>1</v>
      </c>
      <c r="S18" s="95">
        <f>IF(Asmpt!$C$110=0,0,Asmpt!$C$47)</f>
        <v>0.2</v>
      </c>
      <c r="T18" s="88">
        <f>Asmpt!$C$51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3"/>
        <v>0</v>
      </c>
    </row>
    <row r="19" spans="1:31" s="65" customFormat="1" ht="17.100000000000001" customHeight="1">
      <c r="A19" s="91" t="s">
        <v>199</v>
      </c>
      <c r="B19" s="89">
        <f>'Cost Estimator'!F29</f>
        <v>0</v>
      </c>
      <c r="C19" s="90">
        <f>B19*Asmpt!$B27</f>
        <v>0</v>
      </c>
      <c r="E19" s="89">
        <f t="shared" si="10"/>
        <v>0</v>
      </c>
      <c r="F19" s="90">
        <f t="shared" si="0"/>
        <v>0</v>
      </c>
      <c r="G19" s="91"/>
      <c r="H19" s="89">
        <f t="shared" si="11"/>
        <v>0</v>
      </c>
      <c r="I19" s="90">
        <f t="shared" si="1"/>
        <v>0</v>
      </c>
      <c r="J19" s="91"/>
      <c r="K19" s="92">
        <f t="shared" si="2"/>
        <v>0</v>
      </c>
      <c r="L19" s="90">
        <f t="shared" si="3"/>
        <v>0</v>
      </c>
      <c r="N19" s="65" t="str">
        <f t="shared" si="4"/>
        <v>Preferred Specialty</v>
      </c>
      <c r="O19" s="93">
        <f>Asmpt!$C$112</f>
        <v>0</v>
      </c>
      <c r="P19" s="94">
        <f>Asmpt!$C$113</f>
        <v>0</v>
      </c>
      <c r="Q19" s="93">
        <f>Asmpt!$C$114</f>
        <v>0</v>
      </c>
      <c r="R19" s="94">
        <f>Asmpt!$C$115</f>
        <v>1</v>
      </c>
      <c r="S19" s="95">
        <f>IF(Asmpt!$C$116=0,0,Asmpt!$C$47)</f>
        <v>0.2</v>
      </c>
      <c r="T19" s="88">
        <f>Asmpt!$C$51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3"/>
        <v>0</v>
      </c>
    </row>
    <row r="20" spans="1:31" s="65" customFormat="1" ht="17.100000000000001" customHeight="1">
      <c r="A20" s="91" t="s">
        <v>200</v>
      </c>
      <c r="B20" s="89">
        <f>'Cost Estimator'!F30</f>
        <v>0</v>
      </c>
      <c r="C20" s="90">
        <f>B20*Asmpt!$B28</f>
        <v>0</v>
      </c>
      <c r="E20" s="89">
        <f t="shared" si="10"/>
        <v>0</v>
      </c>
      <c r="F20" s="90">
        <f t="shared" si="0"/>
        <v>0</v>
      </c>
      <c r="G20" s="91"/>
      <c r="H20" s="89">
        <f t="shared" si="11"/>
        <v>0</v>
      </c>
      <c r="I20" s="90">
        <f t="shared" si="1"/>
        <v>0</v>
      </c>
      <c r="J20" s="91"/>
      <c r="K20" s="92">
        <f t="shared" si="2"/>
        <v>0</v>
      </c>
      <c r="L20" s="90">
        <f t="shared" si="3"/>
        <v>0</v>
      </c>
      <c r="N20" s="65" t="str">
        <f t="shared" si="4"/>
        <v>Non-Preferred Specialty</v>
      </c>
      <c r="O20" s="93">
        <f>Asmpt!$C$118</f>
        <v>0</v>
      </c>
      <c r="P20" s="94">
        <f>Asmpt!$C$119</f>
        <v>0</v>
      </c>
      <c r="Q20" s="93">
        <f>Asmpt!$C$120</f>
        <v>0</v>
      </c>
      <c r="R20" s="94">
        <f>Asmpt!$C$121</f>
        <v>1</v>
      </c>
      <c r="S20" s="95">
        <f>IF(Asmpt!$C$122=0,0,Asmpt!$C$47)</f>
        <v>0.2</v>
      </c>
      <c r="T20" s="88">
        <f>Asmpt!$C$51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3"/>
        <v>0</v>
      </c>
    </row>
    <row r="21" spans="1:31" s="65" customFormat="1" ht="17.100000000000001" customHeight="1">
      <c r="A21" s="91" t="s">
        <v>203</v>
      </c>
      <c r="B21" s="89">
        <f>'Cost Estimator'!G23</f>
        <v>0</v>
      </c>
      <c r="C21" s="90">
        <f>B21*Asmpt!$B29</f>
        <v>0</v>
      </c>
      <c r="E21" s="89">
        <f t="shared" si="10"/>
        <v>0</v>
      </c>
      <c r="F21" s="90">
        <f t="shared" si="0"/>
        <v>0</v>
      </c>
      <c r="G21" s="91"/>
      <c r="H21" s="89">
        <f t="shared" si="11"/>
        <v>0</v>
      </c>
      <c r="I21" s="90">
        <f t="shared" si="1"/>
        <v>0</v>
      </c>
      <c r="J21" s="91"/>
      <c r="K21" s="92">
        <f t="shared" si="2"/>
        <v>0</v>
      </c>
      <c r="L21" s="90">
        <f t="shared" si="3"/>
        <v>0</v>
      </c>
      <c r="N21" s="65" t="str">
        <f t="shared" si="4"/>
        <v>Mail Order Preferred Generic</v>
      </c>
      <c r="O21" s="93">
        <f>Asmpt!$C$124</f>
        <v>0</v>
      </c>
      <c r="P21" s="94">
        <f>Asmpt!$C$125</f>
        <v>0</v>
      </c>
      <c r="Q21" s="93">
        <f>Asmpt!$C$126</f>
        <v>0</v>
      </c>
      <c r="R21" s="94">
        <f>Asmpt!$C$127</f>
        <v>1</v>
      </c>
      <c r="S21" s="95">
        <f>IF(Asmpt!$C$128=0,0,Asmpt!$C$47)</f>
        <v>0.2</v>
      </c>
      <c r="T21" s="88">
        <f>Asmpt!$C$51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3"/>
        <v>0</v>
      </c>
    </row>
    <row r="22" spans="1:31" s="65" customFormat="1" ht="17.100000000000001" customHeight="1">
      <c r="A22" s="91" t="s">
        <v>204</v>
      </c>
      <c r="B22" s="89">
        <f>'Cost Estimator'!G24</f>
        <v>0</v>
      </c>
      <c r="C22" s="90">
        <f>B22*Asmpt!$B30</f>
        <v>0</v>
      </c>
      <c r="E22" s="89">
        <f t="shared" si="10"/>
        <v>0</v>
      </c>
      <c r="F22" s="90">
        <f t="shared" si="0"/>
        <v>0</v>
      </c>
      <c r="G22" s="91"/>
      <c r="H22" s="89">
        <f t="shared" si="11"/>
        <v>0</v>
      </c>
      <c r="I22" s="90">
        <f t="shared" si="1"/>
        <v>0</v>
      </c>
      <c r="J22" s="91"/>
      <c r="K22" s="92">
        <f t="shared" si="2"/>
        <v>0</v>
      </c>
      <c r="L22" s="90">
        <f t="shared" si="3"/>
        <v>0</v>
      </c>
      <c r="N22" s="65" t="str">
        <f t="shared" si="4"/>
        <v>Mail Order Non-Preferred Generic</v>
      </c>
      <c r="O22" s="93">
        <f>Asmpt!$C$130</f>
        <v>0</v>
      </c>
      <c r="P22" s="94">
        <f>Asmpt!$C$131</f>
        <v>0</v>
      </c>
      <c r="Q22" s="93">
        <f>Asmpt!$C$132</f>
        <v>0</v>
      </c>
      <c r="R22" s="94">
        <f>Asmpt!$C$133</f>
        <v>1</v>
      </c>
      <c r="S22" s="95">
        <f>IF(Asmpt!$C$134=0,0,Asmpt!$C$47)</f>
        <v>0.2</v>
      </c>
      <c r="T22" s="88">
        <f>Asmpt!$C$51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3"/>
        <v>0</v>
      </c>
    </row>
    <row r="23" spans="1:31" s="65" customFormat="1" ht="17.100000000000001" customHeight="1">
      <c r="A23" s="91" t="s">
        <v>110</v>
      </c>
      <c r="B23" s="89">
        <f>'Cost Estimator'!G25</f>
        <v>0</v>
      </c>
      <c r="C23" s="90">
        <f>B23*Asmpt!$B31</f>
        <v>0</v>
      </c>
      <c r="E23" s="89">
        <f t="shared" si="10"/>
        <v>0</v>
      </c>
      <c r="F23" s="90">
        <f t="shared" si="0"/>
        <v>0</v>
      </c>
      <c r="G23" s="91"/>
      <c r="H23" s="89">
        <f t="shared" si="11"/>
        <v>0</v>
      </c>
      <c r="I23" s="90">
        <f t="shared" si="1"/>
        <v>0</v>
      </c>
      <c r="J23" s="91"/>
      <c r="K23" s="92">
        <f t="shared" si="2"/>
        <v>0</v>
      </c>
      <c r="L23" s="90">
        <f t="shared" si="3"/>
        <v>0</v>
      </c>
      <c r="N23" s="65" t="str">
        <f t="shared" si="4"/>
        <v>Mail Order Preferred Brand</v>
      </c>
      <c r="O23" s="93">
        <f>Asmpt!$C$136</f>
        <v>0</v>
      </c>
      <c r="P23" s="94">
        <f>Asmpt!$C$137</f>
        <v>0</v>
      </c>
      <c r="Q23" s="93">
        <f>Asmpt!$C$138</f>
        <v>0</v>
      </c>
      <c r="R23" s="94">
        <f>Asmpt!$C$139</f>
        <v>1</v>
      </c>
      <c r="S23" s="95">
        <f>IF(Asmpt!$C$140=0,0,Asmpt!$C$47)</f>
        <v>0.2</v>
      </c>
      <c r="T23" s="88">
        <f>Asmpt!$C$51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3"/>
        <v>0</v>
      </c>
    </row>
    <row r="24" spans="1:31" s="65" customFormat="1" ht="17.100000000000001" customHeight="1">
      <c r="A24" s="91" t="s">
        <v>111</v>
      </c>
      <c r="B24" s="89">
        <f>'Cost Estimator'!G26</f>
        <v>0</v>
      </c>
      <c r="C24" s="90">
        <f>B24*Asmpt!$B32</f>
        <v>0</v>
      </c>
      <c r="E24" s="89">
        <f t="shared" si="10"/>
        <v>0</v>
      </c>
      <c r="F24" s="90">
        <f t="shared" si="0"/>
        <v>0</v>
      </c>
      <c r="G24" s="91"/>
      <c r="H24" s="89">
        <f t="shared" si="11"/>
        <v>0</v>
      </c>
      <c r="I24" s="90">
        <f t="shared" si="1"/>
        <v>0</v>
      </c>
      <c r="J24" s="91"/>
      <c r="K24" s="92">
        <f t="shared" si="2"/>
        <v>0</v>
      </c>
      <c r="L24" s="90">
        <f t="shared" si="3"/>
        <v>0</v>
      </c>
      <c r="N24" s="65" t="str">
        <f t="shared" si="4"/>
        <v>Mail Order Non-Preferred Brand</v>
      </c>
      <c r="O24" s="93">
        <f>Asmpt!$C$142</f>
        <v>0</v>
      </c>
      <c r="P24" s="94">
        <f>Asmpt!$C$143</f>
        <v>0</v>
      </c>
      <c r="Q24" s="93">
        <f>Asmpt!$C$144</f>
        <v>0</v>
      </c>
      <c r="R24" s="94">
        <f>Asmpt!$C$145</f>
        <v>1</v>
      </c>
      <c r="S24" s="95">
        <f>IF(Asmpt!$C$146=0,0,Asmpt!$C$47)</f>
        <v>0.2</v>
      </c>
      <c r="T24" s="88">
        <f>Asmpt!$C$51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3"/>
        <v>0</v>
      </c>
    </row>
    <row r="25" spans="1:31" s="65" customFormat="1" ht="17.100000000000001" customHeight="1">
      <c r="A25" s="91" t="s">
        <v>112</v>
      </c>
      <c r="B25" s="89">
        <f>'Cost Estimator'!G35</f>
        <v>0</v>
      </c>
      <c r="C25" s="90">
        <f>B25*Asmpt!$B33</f>
        <v>0</v>
      </c>
      <c r="E25" s="89">
        <f t="shared" si="10"/>
        <v>0</v>
      </c>
      <c r="F25" s="90">
        <f t="shared" si="0"/>
        <v>0</v>
      </c>
      <c r="G25" s="91"/>
      <c r="H25" s="89">
        <f t="shared" si="11"/>
        <v>0</v>
      </c>
      <c r="I25" s="90">
        <f t="shared" si="1"/>
        <v>0</v>
      </c>
      <c r="J25" s="91"/>
      <c r="K25" s="92">
        <f t="shared" si="2"/>
        <v>0</v>
      </c>
      <c r="L25" s="90">
        <f t="shared" si="3"/>
        <v>0</v>
      </c>
      <c r="N25" s="65" t="str">
        <f t="shared" si="4"/>
        <v>Lab and X-Ray</v>
      </c>
      <c r="O25" s="93">
        <f>Asmpt!$C$148</f>
        <v>0</v>
      </c>
      <c r="P25" s="94">
        <f>Asmpt!$C$149</f>
        <v>0</v>
      </c>
      <c r="Q25" s="93">
        <f>Asmpt!$C$150</f>
        <v>0</v>
      </c>
      <c r="R25" s="94">
        <f>Asmpt!$C$151</f>
        <v>1</v>
      </c>
      <c r="S25" s="95">
        <f>IF(Asmpt!$C$152=0,0,Asmpt!$C$46)</f>
        <v>0.2</v>
      </c>
      <c r="T25" s="88">
        <f>Asmpt!$C$51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3"/>
        <v>0</v>
      </c>
    </row>
    <row r="26" spans="1:31" s="65" customFormat="1" ht="17.100000000000001" customHeight="1">
      <c r="A26" s="91" t="s">
        <v>211</v>
      </c>
      <c r="B26" s="89">
        <f>'Cost Estimator'!G36</f>
        <v>0</v>
      </c>
      <c r="C26" s="90">
        <f>B26*Asmpt!$B34</f>
        <v>0</v>
      </c>
      <c r="E26" s="89">
        <f t="shared" si="10"/>
        <v>0</v>
      </c>
      <c r="F26" s="90">
        <f t="shared" si="0"/>
        <v>0</v>
      </c>
      <c r="G26" s="91"/>
      <c r="H26" s="89">
        <f t="shared" si="11"/>
        <v>0</v>
      </c>
      <c r="I26" s="90">
        <f t="shared" si="1"/>
        <v>0</v>
      </c>
      <c r="J26" s="91"/>
      <c r="K26" s="92">
        <f t="shared" si="2"/>
        <v>0</v>
      </c>
      <c r="L26" s="90">
        <f t="shared" si="3"/>
        <v>0</v>
      </c>
      <c r="N26" s="65" t="str">
        <f t="shared" si="4"/>
        <v>Advanced Imaging</v>
      </c>
      <c r="O26" s="93">
        <f>Asmpt!$C$154</f>
        <v>0</v>
      </c>
      <c r="P26" s="94">
        <f>Asmpt!$C$155</f>
        <v>0</v>
      </c>
      <c r="Q26" s="93">
        <f>Asmpt!$C$156</f>
        <v>0</v>
      </c>
      <c r="R26" s="94">
        <f>Asmpt!$C$157</f>
        <v>1</v>
      </c>
      <c r="S26" s="95">
        <f>IF(Asmpt!$C$158=0,0,Asmpt!$C$46)</f>
        <v>0.2</v>
      </c>
      <c r="T26" s="88">
        <f>Asmpt!$C$51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3"/>
        <v>0</v>
      </c>
    </row>
    <row r="27" spans="1:31" s="65" customFormat="1" ht="17.100000000000001" customHeight="1" outlineLevel="1">
      <c r="A27" s="91" t="s">
        <v>212</v>
      </c>
      <c r="B27" s="89">
        <f>'Cost Estimator'!G37</f>
        <v>0</v>
      </c>
      <c r="C27" s="90">
        <f>B27*Asmpt!$B35</f>
        <v>0</v>
      </c>
      <c r="E27" s="89">
        <f t="shared" si="10"/>
        <v>0</v>
      </c>
      <c r="F27" s="90">
        <f t="shared" si="0"/>
        <v>0</v>
      </c>
      <c r="G27" s="91"/>
      <c r="H27" s="89">
        <f t="shared" si="11"/>
        <v>0</v>
      </c>
      <c r="I27" s="90">
        <f t="shared" si="1"/>
        <v>0</v>
      </c>
      <c r="J27" s="91"/>
      <c r="K27" s="92">
        <f t="shared" si="2"/>
        <v>0</v>
      </c>
      <c r="L27" s="90">
        <f t="shared" si="3"/>
        <v>0</v>
      </c>
      <c r="N27" s="65" t="str">
        <f t="shared" si="4"/>
        <v>[HOLD]</v>
      </c>
      <c r="O27" s="93">
        <f>Asmpt!$C$160</f>
        <v>0</v>
      </c>
      <c r="P27" s="94">
        <f>Asmpt!$C$161</f>
        <v>0</v>
      </c>
      <c r="Q27" s="93">
        <f>Asmpt!$C$162</f>
        <v>0</v>
      </c>
      <c r="R27" s="94">
        <f>Asmpt!$C$163</f>
        <v>1</v>
      </c>
      <c r="S27" s="95">
        <f>IF(Asmpt!$C$164=0,0,Asmpt!$C$46)</f>
        <v>0.2</v>
      </c>
      <c r="T27" s="88">
        <f>Asmpt!$C$51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3"/>
        <v>0</v>
      </c>
    </row>
    <row r="28" spans="1:31" s="65" customFormat="1" ht="17.100000000000001" customHeight="1">
      <c r="A28" s="91" t="s">
        <v>113</v>
      </c>
      <c r="B28" s="89">
        <f>ROUNDUP(C28/5000,0)</f>
        <v>0</v>
      </c>
      <c r="C28" s="90">
        <f>'Cost Estimator'!G42</f>
        <v>0</v>
      </c>
      <c r="E28" s="89">
        <f t="shared" si="10"/>
        <v>0</v>
      </c>
      <c r="F28" s="90">
        <f t="shared" si="0"/>
        <v>0</v>
      </c>
      <c r="G28" s="91"/>
      <c r="H28" s="89">
        <f t="shared" si="11"/>
        <v>0</v>
      </c>
      <c r="I28" s="90">
        <f t="shared" si="1"/>
        <v>0</v>
      </c>
      <c r="J28" s="91"/>
      <c r="K28" s="92">
        <f t="shared" si="2"/>
        <v>0</v>
      </c>
      <c r="L28" s="90">
        <f t="shared" si="3"/>
        <v>0</v>
      </c>
      <c r="N28" s="65" t="str">
        <f t="shared" si="4"/>
        <v>Outpatient Procedures (Surgery)</v>
      </c>
      <c r="O28" s="93">
        <f>Asmpt!$C$166</f>
        <v>0</v>
      </c>
      <c r="P28" s="94">
        <f>Asmpt!$C$167</f>
        <v>0</v>
      </c>
      <c r="Q28" s="93">
        <f>Asmpt!$C$168</f>
        <v>0</v>
      </c>
      <c r="R28" s="94">
        <f>Asmpt!$C$169</f>
        <v>1</v>
      </c>
      <c r="S28" s="95">
        <f>IF(Asmpt!$C$170=0,0,Asmpt!$C$46)</f>
        <v>0.2</v>
      </c>
      <c r="T28" s="88">
        <f>Asmpt!$C$51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3"/>
        <v>0</v>
      </c>
    </row>
    <row r="29" spans="1:31" s="65" customFormat="1" ht="17.100000000000001" customHeight="1">
      <c r="A29" s="91" t="s">
        <v>5</v>
      </c>
      <c r="B29" s="89">
        <f>ROUNDUP(C29/5000,0)</f>
        <v>0</v>
      </c>
      <c r="C29" s="90">
        <f>'Cost Estimator'!G46</f>
        <v>0</v>
      </c>
      <c r="E29" s="89">
        <f t="shared" si="10"/>
        <v>0</v>
      </c>
      <c r="F29" s="90">
        <f t="shared" si="0"/>
        <v>0</v>
      </c>
      <c r="G29" s="91"/>
      <c r="H29" s="89">
        <f t="shared" si="11"/>
        <v>0</v>
      </c>
      <c r="I29" s="90">
        <f t="shared" si="1"/>
        <v>0</v>
      </c>
      <c r="J29" s="91"/>
      <c r="K29" s="92">
        <f t="shared" si="2"/>
        <v>0</v>
      </c>
      <c r="L29" s="90">
        <f t="shared" si="3"/>
        <v>0</v>
      </c>
      <c r="N29" s="65" t="str">
        <f t="shared" si="4"/>
        <v>Other</v>
      </c>
      <c r="O29" s="93">
        <f>Asmpt!$C$172</f>
        <v>0</v>
      </c>
      <c r="P29" s="94">
        <f>Asmpt!$C$173</f>
        <v>0</v>
      </c>
      <c r="Q29" s="93">
        <f>Asmpt!$C$174</f>
        <v>0</v>
      </c>
      <c r="R29" s="94">
        <f>Asmpt!$C$175</f>
        <v>1</v>
      </c>
      <c r="S29" s="95">
        <f>IF(Asmpt!$C$176=0,0,Asmpt!$C$46)</f>
        <v>0.2</v>
      </c>
      <c r="T29" s="88">
        <f>Asmpt!$C$51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3"/>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4">SUM(V10:V29)</f>
        <v>0</v>
      </c>
      <c r="W31" s="96">
        <f t="shared" si="14"/>
        <v>0</v>
      </c>
      <c r="X31" s="96">
        <f t="shared" si="14"/>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IF(E71=1,Asmpt!$C44,IF(Asmpt!$C53=1,Asmpt!$C44,Asmpt!$C45))</f>
        <v>3200</v>
      </c>
      <c r="P32" s="93">
        <f>IF(E71=1,O32,Asmpt!$C45)</f>
        <v>3200</v>
      </c>
      <c r="Q32" s="93"/>
    </row>
    <row r="33" spans="1:31" s="74" customFormat="1" ht="17.100000000000001" customHeight="1">
      <c r="A33" s="75" t="s">
        <v>91</v>
      </c>
      <c r="B33" s="75"/>
      <c r="C33" s="76" t="str">
        <f>Asmpt!$C$43</f>
        <v>HSA</v>
      </c>
      <c r="D33" s="65"/>
      <c r="E33" s="65"/>
      <c r="F33" s="65"/>
      <c r="G33" s="65"/>
      <c r="H33" s="65"/>
      <c r="I33" s="65"/>
      <c r="J33" s="65"/>
      <c r="K33" s="65"/>
      <c r="L33" s="65"/>
      <c r="M33" s="65"/>
      <c r="N33" s="65" t="s">
        <v>92</v>
      </c>
      <c r="O33" s="93">
        <f>IF(E71=1,Asmpt!$C48,IF(Asmpt!$C54=1,Asmpt!$C48,Asmpt!$C50))</f>
        <v>4500</v>
      </c>
      <c r="P33" s="93">
        <f>IF(E71=1,O33,Asmpt!$C49)</f>
        <v>4500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-MIN(SUM(C34:C36),INDEX(Asmpt!$C184:$C189,'Plan 2 Calcs'!E71))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Estimator'!F57</f>
        <v>864</v>
      </c>
    </row>
    <row r="41" spans="1:31" s="65" customFormat="1" ht="17.100000000000001" customHeight="1">
      <c r="B41" s="92"/>
      <c r="C41" s="92"/>
    </row>
    <row r="42" spans="1:31" s="74" customFormat="1" ht="17.100000000000001" customHeight="1">
      <c r="A42" s="103" t="s">
        <v>28</v>
      </c>
      <c r="B42" s="103"/>
      <c r="C42" s="104">
        <f>C38+C40</f>
        <v>864</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f>IF(OR(C33="HSA",C33="HRA"),IF(Asmpt!$C$184+C37=0,0,Asmpt!$C$184+C37),"NA")</f>
        <v>1150</v>
      </c>
      <c r="O44" s="102"/>
      <c r="P44" s="102"/>
      <c r="Q44" s="102"/>
    </row>
    <row r="45" spans="1:31" s="65" customFormat="1" ht="17.100000000000001" customHeight="1">
      <c r="C45" s="93"/>
      <c r="O45" s="102"/>
      <c r="P45" s="102"/>
      <c r="Q45" s="102"/>
    </row>
    <row r="46" spans="1:31" s="65" customFormat="1" ht="17.100000000000001" customHeight="1">
      <c r="A46" s="172" t="s">
        <v>145</v>
      </c>
      <c r="B46" s="172"/>
      <c r="C46" s="173"/>
      <c r="O46" s="102"/>
      <c r="P46" s="102"/>
      <c r="Q46" s="102"/>
    </row>
    <row r="47" spans="1:31" s="65" customFormat="1" ht="17.100000000000001" customHeight="1">
      <c r="A47" s="65" t="s">
        <v>146</v>
      </c>
      <c r="C47" s="96">
        <f>C40</f>
        <v>864</v>
      </c>
      <c r="O47" s="102"/>
      <c r="P47" s="102"/>
      <c r="Q47" s="102"/>
    </row>
    <row r="48" spans="1:31" s="65" customFormat="1" ht="17.100000000000001" customHeight="1">
      <c r="A48" s="65" t="s">
        <v>101</v>
      </c>
      <c r="O48" s="102"/>
      <c r="P48" s="102"/>
      <c r="Q48" s="102"/>
    </row>
    <row r="49" spans="1:34" s="65" customFormat="1" ht="17.100000000000001" customHeight="1">
      <c r="A49" s="174" t="s">
        <v>149</v>
      </c>
      <c r="C49" s="65">
        <f>INDEX('Cost Estimator'!K5:K10,'Cost Estimator'!J4)</f>
        <v>1</v>
      </c>
      <c r="O49" s="102"/>
      <c r="P49" s="102"/>
      <c r="Q49" s="102"/>
    </row>
    <row r="50" spans="1:34" s="65" customFormat="1" ht="17.100000000000001" customHeight="1">
      <c r="A50" s="174" t="s">
        <v>150</v>
      </c>
      <c r="C50" s="65">
        <f>C49*Asmpt!C50</f>
        <v>4500</v>
      </c>
      <c r="O50" s="102"/>
      <c r="P50" s="102"/>
      <c r="Q50" s="102"/>
    </row>
    <row r="51" spans="1:34" s="65" customFormat="1" ht="17.100000000000001" customHeight="1">
      <c r="A51" s="174" t="s">
        <v>151</v>
      </c>
      <c r="C51" s="65">
        <f>Asmpt!C49</f>
        <v>9000</v>
      </c>
      <c r="O51" s="102"/>
      <c r="P51" s="102"/>
      <c r="Q51" s="102"/>
    </row>
    <row r="52" spans="1:34" s="65" customFormat="1" ht="17.100000000000001" customHeight="1">
      <c r="A52" s="174" t="s">
        <v>152</v>
      </c>
      <c r="C52" s="65">
        <f>MIN(C50:C51)</f>
        <v>4500</v>
      </c>
      <c r="O52" s="102"/>
      <c r="P52" s="102"/>
      <c r="Q52" s="102"/>
    </row>
    <row r="53" spans="1:34" s="65" customFormat="1" ht="17.100000000000001" customHeight="1">
      <c r="A53" s="65" t="s">
        <v>147</v>
      </c>
      <c r="C53" s="96">
        <f>-MIN(C52,INDEX(Asmpt!$C184:$C189,E71))</f>
        <v>-1150</v>
      </c>
      <c r="O53" s="102"/>
      <c r="P53" s="102"/>
      <c r="Q53" s="102"/>
    </row>
    <row r="54" spans="1:34" s="65" customFormat="1" ht="17.100000000000001" customHeight="1">
      <c r="A54" s="65" t="s">
        <v>28</v>
      </c>
      <c r="C54" s="96">
        <f>C47+C52+C53</f>
        <v>4214</v>
      </c>
      <c r="O54" s="102"/>
      <c r="P54" s="102"/>
      <c r="Q54" s="102"/>
    </row>
    <row r="55" spans="1:34" s="65" customFormat="1" ht="17.100000000000001" customHeight="1">
      <c r="C55" s="93"/>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"&amp;Asmpt!$C$40</f>
        <v>HSA = HSP Plan</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"&amp;Asmpt!D40</f>
        <v>Detailed Out-of-Pocket Cost Examples for NA</v>
      </c>
      <c r="B2" s="59"/>
      <c r="C2" s="43"/>
      <c r="D2" s="43"/>
      <c r="E2" s="59"/>
      <c r="F2" s="43"/>
      <c r="G2" s="43"/>
      <c r="H2" s="43"/>
      <c r="I2" s="43"/>
      <c r="J2" s="43"/>
      <c r="K2" s="43"/>
      <c r="L2" s="43"/>
      <c r="M2" s="43"/>
      <c r="N2" s="59" t="str">
        <f>$A2</f>
        <v>Detailed Out-of-Pocket Cost Examples for NA</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Asmpt!$D$43&amp;" — "&amp;A6</f>
        <v xml:space="preserve">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Asmpt!$D$58</f>
        <v>0</v>
      </c>
      <c r="P10" s="94">
        <f>Asmpt!$D$59</f>
        <v>0</v>
      </c>
      <c r="Q10" s="93">
        <f>Asmpt!$D$60</f>
        <v>0</v>
      </c>
      <c r="R10" s="94">
        <f>Asmpt!$D$61</f>
        <v>0</v>
      </c>
      <c r="S10" s="95">
        <f>IF(Asmpt!$D$62=0,0,Asmpt!$D$46)</f>
        <v>0</v>
      </c>
      <c r="T10" s="88">
        <f>Asmpt!$D$51</f>
        <v>0</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Asmpt!$D$64</f>
        <v>0</v>
      </c>
      <c r="P11" s="94">
        <f>Asmpt!$D$65</f>
        <v>0</v>
      </c>
      <c r="Q11" s="93">
        <f>Asmpt!$D$66</f>
        <v>0</v>
      </c>
      <c r="R11" s="94">
        <f>Asmpt!$D$67</f>
        <v>0</v>
      </c>
      <c r="S11" s="95">
        <f>IF(Asmpt!$D$68=0,0,Asmpt!$D$46)</f>
        <v>0</v>
      </c>
      <c r="T11" s="88">
        <f>Asmpt!$D$51</f>
        <v>0</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220</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ref="N12" si="9">A12</f>
        <v>Physical or Occupational Therapy/Massage</v>
      </c>
      <c r="O12" s="93">
        <f>Asmpt!$D$70</f>
        <v>0</v>
      </c>
      <c r="P12" s="94">
        <f>Asmpt!$D$71</f>
        <v>0</v>
      </c>
      <c r="Q12" s="93">
        <f>Asmpt!$D$72</f>
        <v>0</v>
      </c>
      <c r="R12" s="94">
        <f>Asmpt!$D$73</f>
        <v>0</v>
      </c>
      <c r="S12" s="95">
        <f>IF(Asmpt!$D$74=0,0,Asmpt!$D$46)</f>
        <v>0</v>
      </c>
      <c r="T12" s="88">
        <f>Asmpt!$D$51</f>
        <v>0</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10">C12-SUM(V12:AD12)</f>
        <v>0</v>
      </c>
    </row>
    <row r="13" spans="1:33" s="65" customFormat="1" ht="17.100000000000001" customHeight="1">
      <c r="A13" s="91" t="s">
        <v>219</v>
      </c>
      <c r="B13" s="89">
        <f>'Cost Estimator'!F16</f>
        <v>0</v>
      </c>
      <c r="C13" s="90">
        <f>B13*Asmpt!$B21</f>
        <v>0</v>
      </c>
      <c r="E13" s="89">
        <f t="shared" ref="E13:E29" si="11">ROUND(E$72*B13,0)</f>
        <v>0</v>
      </c>
      <c r="F13" s="90">
        <f t="shared" si="0"/>
        <v>0</v>
      </c>
      <c r="G13" s="91"/>
      <c r="H13" s="89">
        <f t="shared" ref="H13:H29" si="12">IF(E$71&lt;4,B13-E13,ROUND(H$72*B13,0))</f>
        <v>0</v>
      </c>
      <c r="I13" s="90">
        <f t="shared" si="1"/>
        <v>0</v>
      </c>
      <c r="J13" s="91"/>
      <c r="K13" s="92">
        <f t="shared" si="2"/>
        <v>0</v>
      </c>
      <c r="L13" s="90">
        <f t="shared" si="3"/>
        <v>0</v>
      </c>
      <c r="N13" s="65" t="str">
        <f t="shared" si="4"/>
        <v>Chiro/Accupuncture</v>
      </c>
      <c r="O13" s="93">
        <f>Asmpt!$D$76</f>
        <v>0</v>
      </c>
      <c r="P13" s="94">
        <f>Asmpt!$D$77</f>
        <v>0</v>
      </c>
      <c r="Q13" s="93">
        <f>Asmpt!$D$78</f>
        <v>0</v>
      </c>
      <c r="R13" s="94">
        <f>Asmpt!$D$79</f>
        <v>0</v>
      </c>
      <c r="S13" s="95">
        <f>IF(Asmpt!$D$80=0,0,Asmpt!$D$46)</f>
        <v>0</v>
      </c>
      <c r="T13" s="88">
        <f>Asmpt!$D$51</f>
        <v>0</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10"/>
        <v>0</v>
      </c>
    </row>
    <row r="14" spans="1:33" s="65" customFormat="1" ht="17.100000000000001" customHeight="1">
      <c r="A14" s="91" t="s">
        <v>107</v>
      </c>
      <c r="B14" s="89">
        <f>'Cost Estimator'!G16</f>
        <v>0</v>
      </c>
      <c r="C14" s="90">
        <f>B14*Asmpt!$B22</f>
        <v>0</v>
      </c>
      <c r="E14" s="89">
        <f t="shared" si="11"/>
        <v>0</v>
      </c>
      <c r="F14" s="90">
        <f t="shared" si="0"/>
        <v>0</v>
      </c>
      <c r="G14" s="91"/>
      <c r="H14" s="89">
        <f t="shared" si="12"/>
        <v>0</v>
      </c>
      <c r="I14" s="90">
        <f t="shared" si="1"/>
        <v>0</v>
      </c>
      <c r="J14" s="91"/>
      <c r="K14" s="92">
        <f t="shared" si="2"/>
        <v>0</v>
      </c>
      <c r="L14" s="90">
        <f t="shared" si="3"/>
        <v>0</v>
      </c>
      <c r="N14" s="65" t="str">
        <f t="shared" si="4"/>
        <v>Specialist Office Visits</v>
      </c>
      <c r="O14" s="93">
        <f>Asmpt!$D$82</f>
        <v>0</v>
      </c>
      <c r="P14" s="94">
        <f>Asmpt!$D$83</f>
        <v>0</v>
      </c>
      <c r="Q14" s="93">
        <f>Asmpt!$D$84</f>
        <v>0</v>
      </c>
      <c r="R14" s="94">
        <f>Asmpt!$D$85</f>
        <v>0</v>
      </c>
      <c r="S14" s="95">
        <f>IF(Asmpt!$D$86=0,0,Asmpt!$D$46)</f>
        <v>0</v>
      </c>
      <c r="T14" s="88">
        <f>Asmpt!$D$51</f>
        <v>0</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3">C14-SUM(V14:AD14)</f>
        <v>0</v>
      </c>
    </row>
    <row r="15" spans="1:33" s="65" customFormat="1" ht="17.100000000000001" customHeight="1">
      <c r="A15" s="91" t="s">
        <v>201</v>
      </c>
      <c r="B15" s="89">
        <f>'Cost Estimator'!F23</f>
        <v>0</v>
      </c>
      <c r="C15" s="90">
        <f>B15*Asmpt!$B23</f>
        <v>0</v>
      </c>
      <c r="E15" s="89">
        <f t="shared" si="11"/>
        <v>0</v>
      </c>
      <c r="F15" s="90">
        <f t="shared" si="0"/>
        <v>0</v>
      </c>
      <c r="G15" s="91"/>
      <c r="H15" s="89">
        <f t="shared" si="12"/>
        <v>0</v>
      </c>
      <c r="I15" s="90">
        <f t="shared" si="1"/>
        <v>0</v>
      </c>
      <c r="J15" s="91"/>
      <c r="K15" s="92">
        <f>B15-E15-H15</f>
        <v>0</v>
      </c>
      <c r="L15" s="90">
        <f t="shared" si="3"/>
        <v>0</v>
      </c>
      <c r="N15" s="65" t="str">
        <f t="shared" si="4"/>
        <v>Retail Preferred Generic</v>
      </c>
      <c r="O15" s="93">
        <f>Asmpt!$D$88</f>
        <v>0</v>
      </c>
      <c r="P15" s="94">
        <f>Asmpt!$D$89</f>
        <v>0</v>
      </c>
      <c r="Q15" s="93">
        <f>Asmpt!$D$90</f>
        <v>0</v>
      </c>
      <c r="R15" s="94">
        <f>Asmpt!$D$91</f>
        <v>0</v>
      </c>
      <c r="S15" s="95">
        <f>IF(Asmpt!$D$92=0,0,Asmpt!$D$47)</f>
        <v>0</v>
      </c>
      <c r="T15" s="88">
        <f>Asmpt!$D$51</f>
        <v>0</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4">C15-SUM(V15:AD15)</f>
        <v>0</v>
      </c>
    </row>
    <row r="16" spans="1:33" s="65" customFormat="1" ht="17.100000000000001" customHeight="1">
      <c r="A16" s="91" t="s">
        <v>202</v>
      </c>
      <c r="B16" s="89">
        <f>'Cost Estimator'!F24</f>
        <v>0</v>
      </c>
      <c r="C16" s="90">
        <f>B16*Asmpt!$B24</f>
        <v>0</v>
      </c>
      <c r="E16" s="89">
        <f t="shared" si="11"/>
        <v>0</v>
      </c>
      <c r="F16" s="90">
        <f t="shared" si="0"/>
        <v>0</v>
      </c>
      <c r="G16" s="91"/>
      <c r="H16" s="89">
        <f t="shared" si="12"/>
        <v>0</v>
      </c>
      <c r="I16" s="90">
        <f t="shared" si="1"/>
        <v>0</v>
      </c>
      <c r="J16" s="91"/>
      <c r="K16" s="92">
        <f t="shared" ref="K16:K24" si="15">B16-E16-H16</f>
        <v>0</v>
      </c>
      <c r="L16" s="90">
        <f t="shared" si="3"/>
        <v>0</v>
      </c>
      <c r="N16" s="65" t="str">
        <f t="shared" si="4"/>
        <v>Retail Non-Preferred Generic</v>
      </c>
      <c r="O16" s="93">
        <f>Asmpt!$D$94</f>
        <v>0</v>
      </c>
      <c r="P16" s="94">
        <f>Asmpt!$D$95</f>
        <v>0</v>
      </c>
      <c r="Q16" s="93">
        <f>Asmpt!$D$96</f>
        <v>0</v>
      </c>
      <c r="R16" s="94">
        <f>Asmpt!$D$97</f>
        <v>0</v>
      </c>
      <c r="S16" s="95">
        <f>IF(Asmpt!$D$98=0,0,Asmpt!$D$47)</f>
        <v>0</v>
      </c>
      <c r="T16" s="88">
        <f>Asmpt!$D$51</f>
        <v>0</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4"/>
        <v>0</v>
      </c>
    </row>
    <row r="17" spans="1:31" s="65" customFormat="1" ht="17.100000000000001" customHeight="1">
      <c r="A17" s="91" t="s">
        <v>108</v>
      </c>
      <c r="B17" s="89">
        <f>'Cost Estimator'!F25</f>
        <v>0</v>
      </c>
      <c r="C17" s="90">
        <f>B17*Asmpt!$B25</f>
        <v>0</v>
      </c>
      <c r="E17" s="89">
        <f t="shared" si="11"/>
        <v>0</v>
      </c>
      <c r="F17" s="90">
        <f t="shared" si="0"/>
        <v>0</v>
      </c>
      <c r="G17" s="91"/>
      <c r="H17" s="89">
        <f t="shared" si="12"/>
        <v>0</v>
      </c>
      <c r="I17" s="90">
        <f t="shared" si="1"/>
        <v>0</v>
      </c>
      <c r="J17" s="91"/>
      <c r="K17" s="92">
        <f t="shared" si="15"/>
        <v>0</v>
      </c>
      <c r="L17" s="90">
        <f t="shared" si="3"/>
        <v>0</v>
      </c>
      <c r="N17" s="65" t="str">
        <f t="shared" si="4"/>
        <v>Retail Preferred Brand</v>
      </c>
      <c r="O17" s="93">
        <f>Asmpt!$D$100</f>
        <v>0</v>
      </c>
      <c r="P17" s="94">
        <f>Asmpt!$D$101</f>
        <v>0</v>
      </c>
      <c r="Q17" s="93">
        <f>Asmpt!$D$102</f>
        <v>0</v>
      </c>
      <c r="R17" s="94">
        <f>Asmpt!$D$103</f>
        <v>0</v>
      </c>
      <c r="S17" s="95">
        <f>IF(Asmpt!$D$104=0,0,Asmpt!$D$47)</f>
        <v>0</v>
      </c>
      <c r="T17" s="88">
        <f>Asmpt!$D$51</f>
        <v>0</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4"/>
        <v>0</v>
      </c>
    </row>
    <row r="18" spans="1:31" s="65" customFormat="1" ht="17.100000000000001" customHeight="1">
      <c r="A18" s="91" t="s">
        <v>109</v>
      </c>
      <c r="B18" s="89">
        <f>'Cost Estimator'!F26</f>
        <v>0</v>
      </c>
      <c r="C18" s="90">
        <f>B18*Asmpt!$B26</f>
        <v>0</v>
      </c>
      <c r="E18" s="89">
        <f t="shared" si="11"/>
        <v>0</v>
      </c>
      <c r="F18" s="90">
        <f t="shared" si="0"/>
        <v>0</v>
      </c>
      <c r="G18" s="91"/>
      <c r="H18" s="89">
        <f t="shared" si="12"/>
        <v>0</v>
      </c>
      <c r="I18" s="90">
        <f t="shared" si="1"/>
        <v>0</v>
      </c>
      <c r="J18" s="91"/>
      <c r="K18" s="92">
        <f t="shared" si="15"/>
        <v>0</v>
      </c>
      <c r="L18" s="90">
        <f t="shared" si="3"/>
        <v>0</v>
      </c>
      <c r="N18" s="65" t="str">
        <f t="shared" si="4"/>
        <v>Retail Non-Preferred Brand</v>
      </c>
      <c r="O18" s="93">
        <f>Asmpt!$D$106</f>
        <v>0</v>
      </c>
      <c r="P18" s="94">
        <f>Asmpt!$D$107</f>
        <v>0</v>
      </c>
      <c r="Q18" s="93">
        <f>Asmpt!$D$108</f>
        <v>0</v>
      </c>
      <c r="R18" s="94">
        <f>Asmpt!$D$109</f>
        <v>0</v>
      </c>
      <c r="S18" s="95">
        <f>IF(Asmpt!$D$110=0,0,Asmpt!$D$47)</f>
        <v>0</v>
      </c>
      <c r="T18" s="88">
        <f>Asmpt!$D$51</f>
        <v>0</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4"/>
        <v>0</v>
      </c>
    </row>
    <row r="19" spans="1:31" s="65" customFormat="1" ht="17.100000000000001" customHeight="1">
      <c r="A19" s="91" t="s">
        <v>199</v>
      </c>
      <c r="B19" s="89">
        <f>'Cost Estimator'!F29</f>
        <v>0</v>
      </c>
      <c r="C19" s="90">
        <f>B19*Asmpt!$B27</f>
        <v>0</v>
      </c>
      <c r="E19" s="89">
        <f t="shared" si="11"/>
        <v>0</v>
      </c>
      <c r="F19" s="90">
        <f t="shared" si="0"/>
        <v>0</v>
      </c>
      <c r="G19" s="91"/>
      <c r="H19" s="89">
        <f t="shared" si="12"/>
        <v>0</v>
      </c>
      <c r="I19" s="90">
        <f t="shared" si="1"/>
        <v>0</v>
      </c>
      <c r="J19" s="91"/>
      <c r="K19" s="92">
        <f t="shared" si="15"/>
        <v>0</v>
      </c>
      <c r="L19" s="90">
        <f t="shared" si="3"/>
        <v>0</v>
      </c>
      <c r="N19" s="65" t="str">
        <f t="shared" si="4"/>
        <v>Preferred Specialty</v>
      </c>
      <c r="O19" s="93">
        <f>Asmpt!$D$112</f>
        <v>0</v>
      </c>
      <c r="P19" s="94">
        <f>Asmpt!$D$113</f>
        <v>0</v>
      </c>
      <c r="Q19" s="93">
        <f>Asmpt!$D$114</f>
        <v>0</v>
      </c>
      <c r="R19" s="94">
        <f>Asmpt!$D$115</f>
        <v>0</v>
      </c>
      <c r="S19" s="95">
        <f>IF(Asmpt!$D$116=0,0,Asmpt!$D$47)</f>
        <v>0</v>
      </c>
      <c r="T19" s="88">
        <f>Asmpt!$D$51</f>
        <v>0</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4"/>
        <v>0</v>
      </c>
    </row>
    <row r="20" spans="1:31" s="65" customFormat="1" ht="17.100000000000001" customHeight="1">
      <c r="A20" s="91" t="s">
        <v>200</v>
      </c>
      <c r="B20" s="89">
        <f>'Cost Estimator'!F30</f>
        <v>0</v>
      </c>
      <c r="C20" s="90">
        <f>B20*Asmpt!$B28</f>
        <v>0</v>
      </c>
      <c r="E20" s="89">
        <f t="shared" si="11"/>
        <v>0</v>
      </c>
      <c r="F20" s="90">
        <f t="shared" si="0"/>
        <v>0</v>
      </c>
      <c r="G20" s="91"/>
      <c r="H20" s="89">
        <f t="shared" si="12"/>
        <v>0</v>
      </c>
      <c r="I20" s="90">
        <f t="shared" si="1"/>
        <v>0</v>
      </c>
      <c r="J20" s="91"/>
      <c r="K20" s="92">
        <f t="shared" si="15"/>
        <v>0</v>
      </c>
      <c r="L20" s="90">
        <f t="shared" si="3"/>
        <v>0</v>
      </c>
      <c r="N20" s="65" t="str">
        <f t="shared" si="4"/>
        <v>Non-Preferred Specialty</v>
      </c>
      <c r="O20" s="93">
        <f>Asmpt!$D$118</f>
        <v>0</v>
      </c>
      <c r="P20" s="94">
        <f>Asmpt!$D$119</f>
        <v>0</v>
      </c>
      <c r="Q20" s="93">
        <f>Asmpt!$D$120</f>
        <v>0</v>
      </c>
      <c r="R20" s="94">
        <f>Asmpt!$D$121</f>
        <v>0</v>
      </c>
      <c r="S20" s="95">
        <f>IF(Asmpt!$D$122=0,0,Asmpt!$D$47)</f>
        <v>0</v>
      </c>
      <c r="T20" s="88">
        <f>Asmpt!$D$51</f>
        <v>0</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4"/>
        <v>0</v>
      </c>
    </row>
    <row r="21" spans="1:31" s="65" customFormat="1" ht="17.100000000000001" customHeight="1">
      <c r="A21" s="91" t="s">
        <v>203</v>
      </c>
      <c r="B21" s="89">
        <f>'Cost Estimator'!G23</f>
        <v>0</v>
      </c>
      <c r="C21" s="90">
        <f>B21*Asmpt!$B29</f>
        <v>0</v>
      </c>
      <c r="E21" s="89">
        <f t="shared" si="11"/>
        <v>0</v>
      </c>
      <c r="F21" s="90">
        <f t="shared" si="0"/>
        <v>0</v>
      </c>
      <c r="G21" s="91"/>
      <c r="H21" s="89">
        <f t="shared" si="12"/>
        <v>0</v>
      </c>
      <c r="I21" s="90">
        <f t="shared" si="1"/>
        <v>0</v>
      </c>
      <c r="J21" s="91"/>
      <c r="K21" s="92">
        <f t="shared" si="15"/>
        <v>0</v>
      </c>
      <c r="L21" s="90">
        <f t="shared" si="3"/>
        <v>0</v>
      </c>
      <c r="N21" s="65" t="str">
        <f t="shared" si="4"/>
        <v>Mail Order Preferred Generic</v>
      </c>
      <c r="O21" s="93">
        <f>Asmpt!$D$124</f>
        <v>0</v>
      </c>
      <c r="P21" s="94">
        <f>Asmpt!$D$125</f>
        <v>0</v>
      </c>
      <c r="Q21" s="93">
        <f>Asmpt!$D$126</f>
        <v>0</v>
      </c>
      <c r="R21" s="94">
        <f>Asmpt!$D$127</f>
        <v>0</v>
      </c>
      <c r="S21" s="95">
        <f>IF(Asmpt!$D$128=0,0,Asmpt!$D$47)</f>
        <v>0</v>
      </c>
      <c r="T21" s="88">
        <f>Asmpt!$D$51</f>
        <v>0</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4"/>
        <v>0</v>
      </c>
    </row>
    <row r="22" spans="1:31" s="65" customFormat="1" ht="17.100000000000001" customHeight="1">
      <c r="A22" s="91" t="s">
        <v>204</v>
      </c>
      <c r="B22" s="89">
        <f>'Cost Estimator'!G24</f>
        <v>0</v>
      </c>
      <c r="C22" s="90">
        <f>B22*Asmpt!$B30</f>
        <v>0</v>
      </c>
      <c r="E22" s="89">
        <f t="shared" si="11"/>
        <v>0</v>
      </c>
      <c r="F22" s="90">
        <f t="shared" si="0"/>
        <v>0</v>
      </c>
      <c r="G22" s="91"/>
      <c r="H22" s="89">
        <f t="shared" si="12"/>
        <v>0</v>
      </c>
      <c r="I22" s="90">
        <f t="shared" si="1"/>
        <v>0</v>
      </c>
      <c r="J22" s="91"/>
      <c r="K22" s="92">
        <f t="shared" si="15"/>
        <v>0</v>
      </c>
      <c r="L22" s="90">
        <f t="shared" si="3"/>
        <v>0</v>
      </c>
      <c r="N22" s="65" t="str">
        <f t="shared" si="4"/>
        <v>Mail Order Non-Preferred Generic</v>
      </c>
      <c r="O22" s="93">
        <f>Asmpt!$D$130</f>
        <v>0</v>
      </c>
      <c r="P22" s="94">
        <f>Asmpt!$D$131</f>
        <v>0</v>
      </c>
      <c r="Q22" s="93">
        <f>Asmpt!$D$132</f>
        <v>0</v>
      </c>
      <c r="R22" s="94">
        <f>Asmpt!$D$133</f>
        <v>0</v>
      </c>
      <c r="S22" s="95">
        <f>IF(Asmpt!$D$134=0,0,Asmpt!$D$47)</f>
        <v>0</v>
      </c>
      <c r="T22" s="88">
        <f>Asmpt!$D$51</f>
        <v>0</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4"/>
        <v>0</v>
      </c>
    </row>
    <row r="23" spans="1:31" s="65" customFormat="1" ht="17.100000000000001" customHeight="1">
      <c r="A23" s="91" t="s">
        <v>110</v>
      </c>
      <c r="B23" s="89">
        <f>'Cost Estimator'!G25</f>
        <v>0</v>
      </c>
      <c r="C23" s="90">
        <f>B23*Asmpt!$B31</f>
        <v>0</v>
      </c>
      <c r="E23" s="89">
        <f t="shared" si="11"/>
        <v>0</v>
      </c>
      <c r="F23" s="90">
        <f t="shared" si="0"/>
        <v>0</v>
      </c>
      <c r="G23" s="91"/>
      <c r="H23" s="89">
        <f t="shared" si="12"/>
        <v>0</v>
      </c>
      <c r="I23" s="90">
        <f t="shared" si="1"/>
        <v>0</v>
      </c>
      <c r="J23" s="91"/>
      <c r="K23" s="92">
        <f t="shared" si="15"/>
        <v>0</v>
      </c>
      <c r="L23" s="90">
        <f t="shared" si="3"/>
        <v>0</v>
      </c>
      <c r="N23" s="65" t="str">
        <f t="shared" si="4"/>
        <v>Mail Order Preferred Brand</v>
      </c>
      <c r="O23" s="93">
        <f>Asmpt!$D$136</f>
        <v>0</v>
      </c>
      <c r="P23" s="94">
        <f>Asmpt!$D$137</f>
        <v>0</v>
      </c>
      <c r="Q23" s="93">
        <f>Asmpt!$D$138</f>
        <v>0</v>
      </c>
      <c r="R23" s="94">
        <f>Asmpt!$D$139</f>
        <v>0</v>
      </c>
      <c r="S23" s="95">
        <f>IF(Asmpt!$D$140=0,0,Asmpt!$D$47)</f>
        <v>0</v>
      </c>
      <c r="T23" s="88">
        <f>Asmpt!$D$51</f>
        <v>0</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4"/>
        <v>0</v>
      </c>
    </row>
    <row r="24" spans="1:31" s="65" customFormat="1" ht="17.100000000000001" customHeight="1">
      <c r="A24" s="91" t="s">
        <v>111</v>
      </c>
      <c r="B24" s="89">
        <f>'Cost Estimator'!G26</f>
        <v>0</v>
      </c>
      <c r="C24" s="90">
        <f>B24*Asmpt!$B32</f>
        <v>0</v>
      </c>
      <c r="E24" s="89">
        <f t="shared" si="11"/>
        <v>0</v>
      </c>
      <c r="F24" s="90">
        <f t="shared" si="0"/>
        <v>0</v>
      </c>
      <c r="G24" s="91"/>
      <c r="H24" s="89">
        <f t="shared" si="12"/>
        <v>0</v>
      </c>
      <c r="I24" s="90">
        <f t="shared" si="1"/>
        <v>0</v>
      </c>
      <c r="J24" s="91"/>
      <c r="K24" s="92">
        <f t="shared" si="15"/>
        <v>0</v>
      </c>
      <c r="L24" s="90">
        <f t="shared" si="3"/>
        <v>0</v>
      </c>
      <c r="N24" s="65" t="str">
        <f t="shared" si="4"/>
        <v>Mail Order Non-Preferred Brand</v>
      </c>
      <c r="O24" s="93">
        <f>Asmpt!$D$142</f>
        <v>0</v>
      </c>
      <c r="P24" s="94">
        <f>Asmpt!$D$143</f>
        <v>0</v>
      </c>
      <c r="Q24" s="93">
        <f>Asmpt!$D$144</f>
        <v>0</v>
      </c>
      <c r="R24" s="94">
        <f>Asmpt!$D$145</f>
        <v>0</v>
      </c>
      <c r="S24" s="95">
        <f>IF(Asmpt!$D$146=0,0,Asmpt!$D$47)</f>
        <v>0</v>
      </c>
      <c r="T24" s="88">
        <f>Asmpt!$D$51</f>
        <v>0</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4"/>
        <v>0</v>
      </c>
    </row>
    <row r="25" spans="1:31" s="65" customFormat="1" ht="17.100000000000001" customHeight="1">
      <c r="A25" s="91" t="s">
        <v>112</v>
      </c>
      <c r="B25" s="89">
        <f>'Cost Estimator'!G35</f>
        <v>0</v>
      </c>
      <c r="C25" s="90">
        <f>B25*Asmpt!$B33</f>
        <v>0</v>
      </c>
      <c r="E25" s="89">
        <f t="shared" si="11"/>
        <v>0</v>
      </c>
      <c r="F25" s="90">
        <f t="shared" si="0"/>
        <v>0</v>
      </c>
      <c r="G25" s="91"/>
      <c r="H25" s="89">
        <f t="shared" si="12"/>
        <v>0</v>
      </c>
      <c r="I25" s="90">
        <f t="shared" si="1"/>
        <v>0</v>
      </c>
      <c r="J25" s="91"/>
      <c r="K25" s="92">
        <f t="shared" si="2"/>
        <v>0</v>
      </c>
      <c r="L25" s="90">
        <f t="shared" si="3"/>
        <v>0</v>
      </c>
      <c r="N25" s="65" t="str">
        <f t="shared" si="4"/>
        <v>Lab and X-Ray</v>
      </c>
      <c r="O25" s="93">
        <f>Asmpt!$D$148</f>
        <v>0</v>
      </c>
      <c r="P25" s="94">
        <f>Asmpt!$D$149</f>
        <v>0</v>
      </c>
      <c r="Q25" s="93">
        <f>Asmpt!$D$150</f>
        <v>0</v>
      </c>
      <c r="R25" s="94">
        <f>Asmpt!$D$151</f>
        <v>0</v>
      </c>
      <c r="S25" s="95">
        <f>IF(Asmpt!$D$152=0,0,Asmpt!$D$46)</f>
        <v>0</v>
      </c>
      <c r="T25" s="88">
        <f>Asmpt!$D$51</f>
        <v>0</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4"/>
        <v>0</v>
      </c>
    </row>
    <row r="26" spans="1:31" s="65" customFormat="1" ht="17.100000000000001" customHeight="1">
      <c r="A26" s="91" t="s">
        <v>211</v>
      </c>
      <c r="B26" s="89">
        <f>'Cost Estimator'!G36</f>
        <v>0</v>
      </c>
      <c r="C26" s="90">
        <f>B26*Asmpt!$B34</f>
        <v>0</v>
      </c>
      <c r="E26" s="89">
        <f t="shared" si="11"/>
        <v>0</v>
      </c>
      <c r="F26" s="90">
        <f t="shared" si="0"/>
        <v>0</v>
      </c>
      <c r="G26" s="91"/>
      <c r="H26" s="89">
        <f t="shared" si="12"/>
        <v>0</v>
      </c>
      <c r="I26" s="90">
        <f t="shared" si="1"/>
        <v>0</v>
      </c>
      <c r="J26" s="91"/>
      <c r="K26" s="92">
        <f t="shared" si="2"/>
        <v>0</v>
      </c>
      <c r="L26" s="90">
        <f t="shared" si="3"/>
        <v>0</v>
      </c>
      <c r="N26" s="65" t="str">
        <f t="shared" si="4"/>
        <v>Advanced Imaging</v>
      </c>
      <c r="O26" s="93">
        <f>Asmpt!$D$154</f>
        <v>0</v>
      </c>
      <c r="P26" s="94">
        <f>Asmpt!$D$155</f>
        <v>0</v>
      </c>
      <c r="Q26" s="93">
        <f>Asmpt!$D$156</f>
        <v>0</v>
      </c>
      <c r="R26" s="94">
        <f>Asmpt!$D$157</f>
        <v>0</v>
      </c>
      <c r="S26" s="95">
        <f>IF(Asmpt!$D$158=0,0,Asmpt!$D$46)</f>
        <v>0</v>
      </c>
      <c r="T26" s="88">
        <f>Asmpt!$D$51</f>
        <v>0</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4"/>
        <v>0</v>
      </c>
    </row>
    <row r="27" spans="1:31" s="65" customFormat="1" ht="17.100000000000001" customHeight="1" outlineLevel="1">
      <c r="A27" s="91" t="s">
        <v>212</v>
      </c>
      <c r="B27" s="89">
        <f>'Cost Estimator'!G37</f>
        <v>0</v>
      </c>
      <c r="C27" s="90">
        <f>B27*Asmpt!$B35</f>
        <v>0</v>
      </c>
      <c r="E27" s="89">
        <f t="shared" si="11"/>
        <v>0</v>
      </c>
      <c r="F27" s="90">
        <f t="shared" si="0"/>
        <v>0</v>
      </c>
      <c r="G27" s="91"/>
      <c r="H27" s="89">
        <f t="shared" si="12"/>
        <v>0</v>
      </c>
      <c r="I27" s="90">
        <f t="shared" si="1"/>
        <v>0</v>
      </c>
      <c r="J27" s="91"/>
      <c r="K27" s="92">
        <f t="shared" si="2"/>
        <v>0</v>
      </c>
      <c r="L27" s="90">
        <f t="shared" si="3"/>
        <v>0</v>
      </c>
      <c r="N27" s="65" t="str">
        <f t="shared" si="4"/>
        <v>[HOLD]</v>
      </c>
      <c r="O27" s="93">
        <f>Asmpt!$D$160</f>
        <v>0</v>
      </c>
      <c r="P27" s="94">
        <f>Asmpt!$D$161</f>
        <v>0</v>
      </c>
      <c r="Q27" s="93">
        <f>Asmpt!$D$162</f>
        <v>0</v>
      </c>
      <c r="R27" s="94">
        <f>Asmpt!$D$163</f>
        <v>0</v>
      </c>
      <c r="S27" s="95">
        <f>IF(Asmpt!$D$164=0,0,Asmpt!$D$46)</f>
        <v>0</v>
      </c>
      <c r="T27" s="88">
        <f>Asmpt!$D$51</f>
        <v>0</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4"/>
        <v>0</v>
      </c>
    </row>
    <row r="28" spans="1:31" s="65" customFormat="1" ht="17.100000000000001" customHeight="1">
      <c r="A28" s="91" t="s">
        <v>113</v>
      </c>
      <c r="B28" s="123">
        <f>ROUNDUP(C28/5000,0)</f>
        <v>0</v>
      </c>
      <c r="C28" s="90">
        <f>Asmpt!$B36</f>
        <v>0</v>
      </c>
      <c r="E28" s="89">
        <f t="shared" si="11"/>
        <v>0</v>
      </c>
      <c r="F28" s="90">
        <f t="shared" si="0"/>
        <v>0</v>
      </c>
      <c r="G28" s="91"/>
      <c r="H28" s="89">
        <f t="shared" si="12"/>
        <v>0</v>
      </c>
      <c r="I28" s="90">
        <f t="shared" si="1"/>
        <v>0</v>
      </c>
      <c r="J28" s="91"/>
      <c r="K28" s="92">
        <f t="shared" si="2"/>
        <v>0</v>
      </c>
      <c r="L28" s="90">
        <f t="shared" si="3"/>
        <v>0</v>
      </c>
      <c r="N28" s="65" t="str">
        <f t="shared" si="4"/>
        <v>Outpatient Procedures (Surgery)</v>
      </c>
      <c r="O28" s="93">
        <f>Asmpt!$D$166</f>
        <v>0</v>
      </c>
      <c r="P28" s="94">
        <f>Asmpt!$D$167</f>
        <v>0</v>
      </c>
      <c r="Q28" s="93">
        <f>Asmpt!$D$168</f>
        <v>0</v>
      </c>
      <c r="R28" s="94">
        <f>Asmpt!$D$169</f>
        <v>0</v>
      </c>
      <c r="S28" s="95">
        <f>IF(Asmpt!$D$170=0,0,Asmpt!$D$46)</f>
        <v>0</v>
      </c>
      <c r="T28" s="88">
        <f>Asmpt!$D$51</f>
        <v>0</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4"/>
        <v>0</v>
      </c>
    </row>
    <row r="29" spans="1:31" s="65" customFormat="1" ht="17.100000000000001" customHeight="1">
      <c r="A29" s="91" t="s">
        <v>5</v>
      </c>
      <c r="B29" s="123">
        <f>ROUNDUP(C29/5000,0)</f>
        <v>0</v>
      </c>
      <c r="C29" s="90">
        <f>Asmpt!$B38</f>
        <v>0</v>
      </c>
      <c r="E29" s="89">
        <f t="shared" si="11"/>
        <v>0</v>
      </c>
      <c r="F29" s="90">
        <f t="shared" si="0"/>
        <v>0</v>
      </c>
      <c r="G29" s="91"/>
      <c r="H29" s="89">
        <f t="shared" si="12"/>
        <v>0</v>
      </c>
      <c r="I29" s="90">
        <f t="shared" si="1"/>
        <v>0</v>
      </c>
      <c r="J29" s="91"/>
      <c r="K29" s="92">
        <f t="shared" si="2"/>
        <v>0</v>
      </c>
      <c r="L29" s="90">
        <f t="shared" si="3"/>
        <v>0</v>
      </c>
      <c r="N29" s="65" t="str">
        <f t="shared" si="4"/>
        <v>Other</v>
      </c>
      <c r="O29" s="93">
        <f>Asmpt!$D$172</f>
        <v>0</v>
      </c>
      <c r="P29" s="94">
        <f>Asmpt!$D$173</f>
        <v>0</v>
      </c>
      <c r="Q29" s="93">
        <f>Asmpt!$D$174</f>
        <v>0</v>
      </c>
      <c r="R29" s="94">
        <f>Asmpt!$D$175</f>
        <v>0</v>
      </c>
      <c r="S29" s="95">
        <f>IF(Asmpt!$D$176=0,0,Asmpt!$D$46)</f>
        <v>0</v>
      </c>
      <c r="T29" s="88">
        <f>Asmpt!$D$51</f>
        <v>0</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4"/>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6">SUM(V10:V29)</f>
        <v>0</v>
      </c>
      <c r="W31" s="96">
        <f t="shared" si="16"/>
        <v>0</v>
      </c>
      <c r="X31" s="96">
        <f t="shared" si="16"/>
        <v>0</v>
      </c>
      <c r="Y31" s="96">
        <f t="shared" si="16"/>
        <v>0</v>
      </c>
      <c r="Z31" s="96">
        <f t="shared" si="16"/>
        <v>0</v>
      </c>
      <c r="AA31" s="96">
        <f t="shared" si="16"/>
        <v>0</v>
      </c>
      <c r="AB31" s="96">
        <f t="shared" si="16"/>
        <v>0</v>
      </c>
      <c r="AC31" s="96">
        <f t="shared" si="16"/>
        <v>0</v>
      </c>
      <c r="AD31" s="96">
        <f t="shared" si="16"/>
        <v>0</v>
      </c>
      <c r="AE31" s="96">
        <f t="shared" si="16"/>
        <v>0</v>
      </c>
    </row>
    <row r="32" spans="1:31" s="65" customFormat="1" ht="17.100000000000001" customHeight="1">
      <c r="B32" s="92"/>
      <c r="C32" s="93"/>
      <c r="N32" s="65" t="s">
        <v>85</v>
      </c>
      <c r="O32" s="93">
        <f>IF(E71=1,Asmpt!$D44,IF(Asmpt!$D53=1,Asmpt!$D44,Asmpt!$D45))</f>
        <v>0</v>
      </c>
      <c r="P32" s="93">
        <f>IF(E71=1,O32,Asmpt!$D45)</f>
        <v>0</v>
      </c>
      <c r="Q32" s="93"/>
    </row>
    <row r="33" spans="1:31" s="74" customFormat="1" ht="17.100000000000001" customHeight="1">
      <c r="A33" s="75" t="s">
        <v>91</v>
      </c>
      <c r="B33" s="75"/>
      <c r="C33" s="76">
        <f>Asmpt!$D$43</f>
        <v>0</v>
      </c>
      <c r="D33" s="65"/>
      <c r="E33" s="65"/>
      <c r="F33" s="65"/>
      <c r="G33" s="65"/>
      <c r="H33" s="65"/>
      <c r="I33" s="65"/>
      <c r="J33" s="65"/>
      <c r="K33" s="65"/>
      <c r="L33" s="65"/>
      <c r="M33" s="65"/>
      <c r="N33" s="65" t="s">
        <v>92</v>
      </c>
      <c r="O33" s="93">
        <f>IF(E71=1,Asmpt!$D48,IF(Asmpt!$D54=1,Asmpt!$D48,Asmpt!$D50))</f>
        <v>0</v>
      </c>
      <c r="P33" s="93">
        <f>IF(E71=1,O33,Asmpt!$D49)</f>
        <v>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-MIN(SUM(C34:C36),INDEX(Asmpt!$D184:$D189,E71))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t="str">
        <f>'Cost Estimator'!G57</f>
        <v/>
      </c>
    </row>
    <row r="41" spans="1:31" s="65" customFormat="1" ht="17.100000000000001" customHeight="1">
      <c r="B41" s="92"/>
      <c r="C41" s="92"/>
    </row>
    <row r="42" spans="1:31" s="74" customFormat="1" ht="17.100000000000001" customHeight="1">
      <c r="A42" s="103" t="s">
        <v>28</v>
      </c>
      <c r="B42" s="103"/>
      <c r="C42" s="104" t="e">
        <f>C38+C40</f>
        <v>#VALUE!</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IF(OR(C33="HSA",C33="HRA"),IF(Asmpt!$D$184+C37=0,0,Asmpt!$D$184+C37),"NA")</f>
        <v>NA</v>
      </c>
      <c r="O44" s="102"/>
      <c r="P44" s="102"/>
      <c r="Q44" s="102"/>
    </row>
    <row r="45" spans="1:31" s="65" customFormat="1" ht="17.100000000000001" customHeight="1">
      <c r="O45" s="102"/>
      <c r="P45" s="102"/>
      <c r="Q45" s="102"/>
    </row>
    <row r="46" spans="1:31" s="65" customFormat="1" ht="17.100000000000001" customHeight="1">
      <c r="A46" s="172" t="s">
        <v>145</v>
      </c>
      <c r="B46" s="172"/>
      <c r="C46" s="173"/>
      <c r="O46" s="102"/>
      <c r="P46" s="102"/>
      <c r="Q46" s="102"/>
    </row>
    <row r="47" spans="1:31" s="65" customFormat="1" ht="17.100000000000001" customHeight="1">
      <c r="A47" s="65" t="s">
        <v>146</v>
      </c>
      <c r="C47" s="96" t="str">
        <f>C40</f>
        <v/>
      </c>
      <c r="O47" s="102"/>
      <c r="P47" s="102"/>
      <c r="Q47" s="102"/>
    </row>
    <row r="48" spans="1:31" s="65" customFormat="1" ht="17.100000000000001" customHeight="1">
      <c r="A48" s="65" t="s">
        <v>101</v>
      </c>
      <c r="O48" s="102"/>
      <c r="P48" s="102"/>
      <c r="Q48" s="102"/>
    </row>
    <row r="49" spans="1:34" s="65" customFormat="1" ht="17.100000000000001" customHeight="1">
      <c r="A49" s="174" t="s">
        <v>149</v>
      </c>
      <c r="C49" s="65">
        <f>INDEX('Cost Estimator'!K5:K10,'Cost Estimator'!J4)</f>
        <v>1</v>
      </c>
      <c r="O49" s="102"/>
      <c r="P49" s="102"/>
      <c r="Q49" s="102"/>
    </row>
    <row r="50" spans="1:34" s="65" customFormat="1" ht="17.100000000000001" customHeight="1">
      <c r="A50" s="174" t="s">
        <v>150</v>
      </c>
      <c r="C50" s="65">
        <f>C49*Asmpt!C50</f>
        <v>4500</v>
      </c>
      <c r="O50" s="102"/>
      <c r="P50" s="102"/>
      <c r="Q50" s="102"/>
    </row>
    <row r="51" spans="1:34" s="65" customFormat="1" ht="17.100000000000001" customHeight="1">
      <c r="A51" s="174" t="s">
        <v>151</v>
      </c>
      <c r="C51" s="65">
        <f>Asmpt!C49</f>
        <v>9000</v>
      </c>
      <c r="O51" s="102"/>
      <c r="P51" s="102"/>
      <c r="Q51" s="102"/>
    </row>
    <row r="52" spans="1:34" s="65" customFormat="1" ht="17.100000000000001" customHeight="1">
      <c r="A52" s="174" t="s">
        <v>152</v>
      </c>
      <c r="C52" s="65">
        <f>MIN(C50:C51)</f>
        <v>4500</v>
      </c>
      <c r="O52" s="102"/>
      <c r="P52" s="102"/>
      <c r="Q52" s="102"/>
    </row>
    <row r="53" spans="1:34" s="65" customFormat="1" ht="17.100000000000001" customHeight="1">
      <c r="A53" s="65" t="s">
        <v>147</v>
      </c>
      <c r="C53" s="96">
        <f>-MIN(C52,INDEX(Asmpt!$C184:$C189,E71))</f>
        <v>-1150</v>
      </c>
      <c r="O53" s="102"/>
      <c r="P53" s="102"/>
      <c r="Q53" s="102"/>
    </row>
    <row r="54" spans="1:34" s="65" customFormat="1" ht="17.100000000000001" customHeight="1">
      <c r="A54" s="65" t="s">
        <v>28</v>
      </c>
      <c r="C54" s="96" t="e">
        <f>C47+C52+C53</f>
        <v>#VALUE!</v>
      </c>
      <c r="O54" s="102"/>
      <c r="P54" s="102"/>
      <c r="Q54" s="102"/>
    </row>
    <row r="55" spans="1:34" s="65" customFormat="1" ht="17.100000000000001" customHeight="1">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"&amp;Asmpt!$D$40</f>
        <v>0 = NA</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2023-05-03T16:24:26Z</cp:lastPrinted>
  <dcterms:created xsi:type="dcterms:W3CDTF">2006-10-12T18:05:23Z</dcterms:created>
  <dcterms:modified xsi:type="dcterms:W3CDTF">2023-05-03T16:32:36Z</dcterms:modified>
</cp:coreProperties>
</file>